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rTHughes\AppData\Local\Microsoft\Windows\INetCache\Content.Outlook\5NS7KO5I\"/>
    </mc:Choice>
  </mc:AlternateContent>
  <xr:revisionPtr revIDLastSave="0" documentId="13_ncr:1_{B17BAD42-0A74-44D8-93A1-5208F88A159E}" xr6:coauthVersionLast="47" xr6:coauthVersionMax="47" xr10:uidLastSave="{00000000-0000-0000-0000-000000000000}"/>
  <bookViews>
    <workbookView xWindow="-120" yWindow="-120" windowWidth="25440" windowHeight="15270" activeTab="2" xr2:uid="{AC57A2B5-2F06-4D69-8846-DC0B3D63C870}"/>
  </bookViews>
  <sheets>
    <sheet name="FIA - Termly Contribution" sheetId="8" r:id="rId1"/>
    <sheet name="FIA - Total Contribution" sheetId="11" r:id="rId2"/>
    <sheet name="FIA Calculator" sheetId="7" r:id="rId3"/>
    <sheet name="FIA ST (Data)" sheetId="5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7" l="1"/>
  <c r="E2" i="7" s="1"/>
  <c r="E15" i="11" l="1"/>
  <c r="E13" i="11" s="1"/>
  <c r="E14" i="11" s="1"/>
  <c r="C42" i="11" l="1"/>
  <c r="C41" i="11" l="1"/>
  <c r="C40" i="11" l="1"/>
  <c r="C39" i="11"/>
  <c r="C38" i="11" l="1"/>
  <c r="C37" i="11" l="1"/>
  <c r="C36" i="11" l="1"/>
  <c r="C35" i="11" l="1"/>
  <c r="C34" i="11" l="1"/>
  <c r="C33" i="11" l="1"/>
  <c r="C32" i="11" l="1"/>
  <c r="C31" i="11" l="1"/>
  <c r="C30" i="11" l="1"/>
  <c r="C29" i="11" l="1"/>
  <c r="D43" i="11" l="1"/>
  <c r="E43" i="11" s="1"/>
  <c r="F43" i="11" s="1"/>
  <c r="C28" i="11"/>
  <c r="D42" i="11" l="1"/>
  <c r="C27" i="11"/>
  <c r="E42" i="11" l="1"/>
  <c r="F42" i="11" s="1"/>
  <c r="D41" i="11"/>
  <c r="C26" i="11"/>
  <c r="E41" i="11" l="1"/>
  <c r="F41" i="11" s="1"/>
  <c r="D40" i="11"/>
  <c r="C25" i="11"/>
  <c r="E40" i="11" l="1"/>
  <c r="F40" i="11" s="1"/>
  <c r="D39" i="11"/>
  <c r="C24" i="11"/>
  <c r="E39" i="11" l="1"/>
  <c r="F39" i="11" s="1"/>
  <c r="D38" i="11"/>
  <c r="C23" i="11"/>
  <c r="E38" i="11" l="1"/>
  <c r="F38" i="11" s="1"/>
  <c r="D37" i="11"/>
  <c r="E37" i="11" l="1"/>
  <c r="F37" i="11" s="1"/>
  <c r="D36" i="11"/>
  <c r="E36" i="11" l="1"/>
  <c r="F36" i="11" s="1"/>
  <c r="D35" i="11"/>
  <c r="E35" i="11" l="1"/>
  <c r="F35" i="11" s="1"/>
  <c r="D34" i="11"/>
  <c r="E34" i="11" l="1"/>
  <c r="F34" i="11" s="1"/>
  <c r="D33" i="11"/>
  <c r="E33" i="11" l="1"/>
  <c r="F33" i="11" s="1"/>
  <c r="D32" i="11"/>
  <c r="E32" i="11" l="1"/>
  <c r="F32" i="11" s="1"/>
  <c r="D31" i="11"/>
  <c r="E31" i="11" l="1"/>
  <c r="F31" i="11" s="1"/>
  <c r="D30" i="11"/>
  <c r="E30" i="11" l="1"/>
  <c r="F30" i="11" s="1"/>
  <c r="D29" i="11"/>
  <c r="E29" i="11" l="1"/>
  <c r="F29" i="11" s="1"/>
  <c r="D28" i="11"/>
  <c r="E28" i="11" l="1"/>
  <c r="F28" i="11" s="1"/>
  <c r="D27" i="11"/>
  <c r="E27" i="11" l="1"/>
  <c r="F27" i="11" s="1"/>
  <c r="D26" i="11"/>
  <c r="E26" i="11" l="1"/>
  <c r="F26" i="11" s="1"/>
  <c r="D25" i="11"/>
  <c r="C3" i="7"/>
  <c r="C4" i="7" s="1"/>
  <c r="C5" i="7" s="1"/>
  <c r="C6" i="7" s="1"/>
  <c r="C7" i="7" s="1"/>
  <c r="C8" i="7" s="1"/>
  <c r="E25" i="11" l="1"/>
  <c r="F25" i="11" s="1"/>
  <c r="D24" i="11"/>
  <c r="J35" i="5"/>
  <c r="J34" i="5" s="1"/>
  <c r="J33" i="5" s="1"/>
  <c r="J32" i="5" s="1"/>
  <c r="J31" i="5" s="1"/>
  <c r="J30" i="5" s="1"/>
  <c r="J29" i="5" s="1"/>
  <c r="J28" i="5" s="1"/>
  <c r="J27" i="5" s="1"/>
  <c r="J26" i="5" s="1"/>
  <c r="J25" i="5" s="1"/>
  <c r="J24" i="5" s="1"/>
  <c r="J23" i="5" s="1"/>
  <c r="J22" i="5" s="1"/>
  <c r="J21" i="5" s="1"/>
  <c r="J20" i="5" s="1"/>
  <c r="J19" i="5" s="1"/>
  <c r="J18" i="5" s="1"/>
  <c r="J17" i="5" s="1"/>
  <c r="J36" i="5"/>
  <c r="E24" i="11" l="1"/>
  <c r="F24" i="11" s="1"/>
  <c r="D23" i="11"/>
  <c r="E23" i="11" s="1"/>
  <c r="F23" i="11" s="1"/>
  <c r="C41" i="8"/>
  <c r="B10" i="7"/>
  <c r="C40" i="8" l="1"/>
  <c r="C36" i="5"/>
  <c r="C35" i="5" s="1"/>
  <c r="C34" i="5" s="1"/>
  <c r="C33" i="5" s="1"/>
  <c r="C32" i="5" s="1"/>
  <c r="C31" i="5" s="1"/>
  <c r="C30" i="5" s="1"/>
  <c r="C29" i="5" s="1"/>
  <c r="C28" i="5" s="1"/>
  <c r="C27" i="5" s="1"/>
  <c r="C26" i="5" s="1"/>
  <c r="C25" i="5" s="1"/>
  <c r="C24" i="5" s="1"/>
  <c r="C23" i="5" s="1"/>
  <c r="C22" i="5" s="1"/>
  <c r="C21" i="5" s="1"/>
  <c r="C20" i="5" s="1"/>
  <c r="C19" i="5" s="1"/>
  <c r="C18" i="5" s="1"/>
  <c r="C17" i="5" s="1"/>
  <c r="C39" i="8" l="1"/>
  <c r="C38" i="8" l="1"/>
  <c r="D3" i="7"/>
  <c r="E3" i="7" s="1"/>
  <c r="C37" i="8" l="1"/>
  <c r="D4" i="7"/>
  <c r="E4" i="7" s="1"/>
  <c r="C36" i="8" l="1"/>
  <c r="D5" i="7"/>
  <c r="D6" i="7" s="1"/>
  <c r="D7" i="7" l="1"/>
  <c r="E6" i="7"/>
  <c r="E5" i="7"/>
  <c r="C35" i="8"/>
  <c r="D8" i="7" l="1"/>
  <c r="E8" i="7" s="1"/>
  <c r="E10" i="7" s="1"/>
  <c r="E7" i="7"/>
  <c r="C34" i="8"/>
  <c r="C33" i="8" l="1"/>
  <c r="E11" i="7"/>
  <c r="E12" i="5" s="1"/>
  <c r="D37" i="5" s="1"/>
  <c r="C32" i="8" l="1"/>
  <c r="D36" i="5"/>
  <c r="D35" i="5" s="1"/>
  <c r="D34" i="5" s="1"/>
  <c r="D33" i="5" s="1"/>
  <c r="D32" i="5" s="1"/>
  <c r="D31" i="5" s="1"/>
  <c r="D30" i="5" s="1"/>
  <c r="D29" i="5" s="1"/>
  <c r="D28" i="5" s="1"/>
  <c r="D27" i="5" s="1"/>
  <c r="D26" i="5" s="1"/>
  <c r="D25" i="5" s="1"/>
  <c r="D24" i="5" s="1"/>
  <c r="D23" i="5" s="1"/>
  <c r="D22" i="5" s="1"/>
  <c r="D21" i="5" s="1"/>
  <c r="D20" i="5" s="1"/>
  <c r="D19" i="5" s="1"/>
  <c r="D18" i="5" s="1"/>
  <c r="D17" i="5" s="1"/>
  <c r="E17" i="5" s="1"/>
  <c r="F17" i="5" s="1"/>
  <c r="C31" i="8" l="1"/>
  <c r="E14" i="7"/>
  <c r="L12" i="5"/>
  <c r="E21" i="5"/>
  <c r="F21" i="5" s="1"/>
  <c r="E24" i="5"/>
  <c r="F24" i="5" s="1"/>
  <c r="E26" i="5"/>
  <c r="F26" i="5" s="1"/>
  <c r="E25" i="5"/>
  <c r="F25" i="5" s="1"/>
  <c r="E27" i="5"/>
  <c r="F27" i="5" s="1"/>
  <c r="E19" i="5"/>
  <c r="F19" i="5" s="1"/>
  <c r="E23" i="5"/>
  <c r="F23" i="5" s="1"/>
  <c r="E18" i="5"/>
  <c r="F18" i="5" s="1"/>
  <c r="E22" i="5"/>
  <c r="F22" i="5" s="1"/>
  <c r="E20" i="5"/>
  <c r="F20" i="5" s="1"/>
  <c r="E28" i="5"/>
  <c r="F28" i="5" s="1"/>
  <c r="E15" i="7" l="1"/>
  <c r="E12" i="7" s="1"/>
  <c r="C30" i="8"/>
  <c r="K37" i="5"/>
  <c r="L37" i="5" s="1"/>
  <c r="M37" i="5" s="1"/>
  <c r="E29" i="5"/>
  <c r="F29" i="5" s="1"/>
  <c r="C29" i="8" l="1"/>
  <c r="K36" i="5"/>
  <c r="L36" i="5" s="1"/>
  <c r="M36" i="5" s="1"/>
  <c r="E30" i="5"/>
  <c r="F30" i="5" s="1"/>
  <c r="C28" i="8" l="1"/>
  <c r="K35" i="5"/>
  <c r="K34" i="5" s="1"/>
  <c r="E31" i="5"/>
  <c r="F31" i="5" s="1"/>
  <c r="C27" i="8" l="1"/>
  <c r="L35" i="5"/>
  <c r="M35" i="5" s="1"/>
  <c r="K33" i="5"/>
  <c r="L34" i="5"/>
  <c r="M34" i="5" s="1"/>
  <c r="E32" i="5"/>
  <c r="F32" i="5" s="1"/>
  <c r="C26" i="8" l="1"/>
  <c r="K32" i="5"/>
  <c r="L33" i="5"/>
  <c r="M33" i="5" s="1"/>
  <c r="E33" i="5"/>
  <c r="F33" i="5" s="1"/>
  <c r="C25" i="8" l="1"/>
  <c r="L32" i="5"/>
  <c r="M32" i="5" s="1"/>
  <c r="K31" i="5"/>
  <c r="E34" i="5"/>
  <c r="F34" i="5" s="1"/>
  <c r="C24" i="8" l="1"/>
  <c r="K30" i="5"/>
  <c r="L31" i="5"/>
  <c r="M31" i="5" s="1"/>
  <c r="E35" i="5"/>
  <c r="F35" i="5" s="1"/>
  <c r="C23" i="8" l="1"/>
  <c r="K29" i="5"/>
  <c r="L30" i="5"/>
  <c r="M30" i="5" s="1"/>
  <c r="E36" i="5"/>
  <c r="F36" i="5" s="1"/>
  <c r="E37" i="5"/>
  <c r="F37" i="5" s="1"/>
  <c r="C22" i="8" l="1"/>
  <c r="L29" i="5"/>
  <c r="M29" i="5" s="1"/>
  <c r="K28" i="5"/>
  <c r="L28" i="5" l="1"/>
  <c r="M28" i="5" s="1"/>
  <c r="K27" i="5"/>
  <c r="K26" i="5" l="1"/>
  <c r="L27" i="5"/>
  <c r="M27" i="5" s="1"/>
  <c r="L26" i="5" l="1"/>
  <c r="M26" i="5" s="1"/>
  <c r="K25" i="5"/>
  <c r="K24" i="5" l="1"/>
  <c r="L25" i="5"/>
  <c r="M25" i="5" s="1"/>
  <c r="L24" i="5" l="1"/>
  <c r="M24" i="5" s="1"/>
  <c r="K23" i="5"/>
  <c r="K22" i="5" l="1"/>
  <c r="L23" i="5"/>
  <c r="M23" i="5" s="1"/>
  <c r="L22" i="5" l="1"/>
  <c r="M22" i="5" s="1"/>
  <c r="K21" i="5"/>
  <c r="L21" i="5" l="1"/>
  <c r="M21" i="5" s="1"/>
  <c r="K20" i="5"/>
  <c r="L20" i="5" l="1"/>
  <c r="M20" i="5" s="1"/>
  <c r="K19" i="5"/>
  <c r="K18" i="5" l="1"/>
  <c r="L19" i="5"/>
  <c r="M19" i="5" s="1"/>
  <c r="L18" i="5" l="1"/>
  <c r="M18" i="5" s="1"/>
  <c r="K17" i="5"/>
  <c r="L17" i="5" l="1"/>
  <c r="M17" i="5" s="1"/>
  <c r="D22" i="8" l="1"/>
  <c r="E22" i="8" s="1"/>
  <c r="F22" i="8" s="1"/>
  <c r="D23" i="8"/>
  <c r="E23" i="8" s="1"/>
  <c r="F23" i="8" s="1"/>
  <c r="D24" i="8"/>
  <c r="E24" i="8" s="1"/>
  <c r="F24" i="8" s="1"/>
  <c r="D25" i="8"/>
  <c r="E25" i="8" s="1"/>
  <c r="F25" i="8" s="1"/>
  <c r="D26" i="8"/>
  <c r="E26" i="8" s="1"/>
  <c r="F26" i="8" s="1"/>
  <c r="D27" i="8"/>
  <c r="E27" i="8" s="1"/>
  <c r="F27" i="8" s="1"/>
  <c r="D28" i="8"/>
  <c r="E28" i="8" s="1"/>
  <c r="F28" i="8" s="1"/>
  <c r="D29" i="8"/>
  <c r="E29" i="8" s="1"/>
  <c r="F29" i="8" s="1"/>
  <c r="D30" i="8"/>
  <c r="E30" i="8" s="1"/>
  <c r="F30" i="8" s="1"/>
  <c r="D41" i="8"/>
  <c r="E41" i="8" s="1"/>
  <c r="F41" i="8" s="1"/>
  <c r="D42" i="8"/>
  <c r="E42" i="8" s="1"/>
  <c r="F42" i="8" s="1"/>
  <c r="D32" i="8"/>
  <c r="E32" i="8" s="1"/>
  <c r="F32" i="8" s="1"/>
  <c r="D33" i="8"/>
  <c r="E33" i="8" s="1"/>
  <c r="F33" i="8" s="1"/>
  <c r="D38" i="8"/>
  <c r="E38" i="8" s="1"/>
  <c r="F38" i="8" s="1"/>
  <c r="D34" i="8"/>
  <c r="D39" i="8"/>
  <c r="E39" i="8" s="1"/>
  <c r="F39" i="8" s="1"/>
  <c r="D35" i="8"/>
  <c r="E35" i="8" s="1"/>
  <c r="F35" i="8" s="1"/>
  <c r="D40" i="8"/>
  <c r="E40" i="8" s="1"/>
  <c r="F40" i="8" s="1"/>
  <c r="D36" i="8"/>
  <c r="E36" i="8" s="1"/>
  <c r="F36" i="8" s="1"/>
  <c r="D31" i="8"/>
  <c r="D37" i="8"/>
  <c r="E37" i="8" s="1"/>
  <c r="F37" i="8" s="1"/>
  <c r="E34" i="8" l="1"/>
  <c r="F34" i="8" s="1"/>
  <c r="E15" i="8"/>
  <c r="E13" i="8" s="1"/>
  <c r="E31" i="8"/>
  <c r="F31" i="8" s="1"/>
</calcChain>
</file>

<file path=xl/sharedStrings.xml><?xml version="1.0" encoding="utf-8"?>
<sst xmlns="http://schemas.openxmlformats.org/spreadsheetml/2006/main" count="78" uniqueCount="44">
  <si>
    <t>Termly Contribution</t>
  </si>
  <si>
    <t>Commutation Rate</t>
  </si>
  <si>
    <t>Discount %</t>
  </si>
  <si>
    <t>Payable per £1,000</t>
  </si>
  <si>
    <t>Please enter the amount of fees you wish to prepay each term (yellow box)</t>
  </si>
  <si>
    <t>Number of Terms</t>
  </si>
  <si>
    <t>Total Payable (£)</t>
  </si>
  <si>
    <t>Saving (£)</t>
  </si>
  <si>
    <t>Fees in Advance Scheme Table</t>
  </si>
  <si>
    <t>Effective 01/02/2024</t>
  </si>
  <si>
    <t>Terms Remaining</t>
  </si>
  <si>
    <t>Year Ending 2026</t>
  </si>
  <si>
    <t>Year Ending 2027</t>
  </si>
  <si>
    <t>Year Ending 2028</t>
  </si>
  <si>
    <t>Year Ending 2029</t>
  </si>
  <si>
    <t>Year Ending 2030</t>
  </si>
  <si>
    <t>Grand Total</t>
  </si>
  <si>
    <t>Total Annual Cost</t>
  </si>
  <si>
    <t>Year Ending 2031</t>
  </si>
  <si>
    <t>Discount</t>
  </si>
  <si>
    <t>Discount (Scholarship) %</t>
  </si>
  <si>
    <t>Total Number of Terms</t>
  </si>
  <si>
    <t>Please complete the yellow boxes with:</t>
  </si>
  <si>
    <t>the number of terms you wish to cover and,</t>
  </si>
  <si>
    <t>the termly contribution you would like to make.</t>
  </si>
  <si>
    <t>Estimated Fee Inflation</t>
  </si>
  <si>
    <t>Termly Discount</t>
  </si>
  <si>
    <t>The Termly Contribution shows the total prepaid contribution per term. (G11)</t>
  </si>
  <si>
    <t>The Termly Discount shows the total agreed discount received per term. (G12)</t>
  </si>
  <si>
    <t>The Discount shows the total discount received. (G15)</t>
  </si>
  <si>
    <t>Gross Termly Fees</t>
  </si>
  <si>
    <t>In column B, please enter how many terms you would like to cover per academic year.  Please enter 0 if there are none.</t>
  </si>
  <si>
    <t>In column C, cell C2, please enter any remissions that you receive (scholarship/bursary).  Please note that you will only receive a discount on the school fees whilst the scholarship/bursary is active.</t>
  </si>
  <si>
    <t>This model shows the Gross school fees.</t>
  </si>
  <si>
    <t>Total Up Front Payment</t>
  </si>
  <si>
    <t>the total up front payment you would like to make.</t>
  </si>
  <si>
    <t>Total Discount</t>
  </si>
  <si>
    <t>Do not touch column E.</t>
  </si>
  <si>
    <t>Use column F to estimate the fee inflation.  We have set these with nominal values that may go up or down depending on actual inflation to school costs.</t>
  </si>
  <si>
    <t>Effective 01/02/2025</t>
  </si>
  <si>
    <t>N/A</t>
  </si>
  <si>
    <t>Year Ending 2032</t>
  </si>
  <si>
    <t>You do not need to touch column D - this is driven by the estimated fee inflation in column H. You can of course make your own asumption about the fees you will be covering.</t>
  </si>
  <si>
    <t>FIA Lump Sum Due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</si>
</sst>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;\(#,##0.00\);\-"/>
    <numFmt numFmtId="165" formatCode="_-* #,##0.000_-;\-* #,##0.000_-;_-* &quot;-&quot;??_-;_-@_-"/>
    <numFmt numFmtId="166" formatCode="_-* #,##0_-;\-* #,##0_-;_-* &quot;-&quot;??_-;_-@_-"/>
    <numFmt numFmtId="167" formatCode="_-* #,##0.000_-;\-* #,##0.000_-;_-* &quot;-&quot;?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2">
    <xf numFmtId="0" fontId="0" fillId="0" borderId="0" xfId="0"/>
    <xf numFmtId="164" fontId="1" fillId="2" borderId="7" xfId="0" applyNumberFormat="1" applyFont="1" applyFill="1" applyBorder="1"/>
    <xf numFmtId="0" fontId="0" fillId="3" borderId="0" xfId="0" applyFill="1"/>
    <xf numFmtId="166" fontId="0" fillId="3" borderId="0" xfId="1" applyNumberFormat="1" applyFont="1" applyFill="1"/>
    <xf numFmtId="0" fontId="4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5" fillId="3" borderId="0" xfId="0" applyFont="1" applyFill="1" applyAlignment="1">
      <alignment horizontal="center"/>
    </xf>
    <xf numFmtId="0" fontId="1" fillId="3" borderId="2" xfId="0" applyFont="1" applyFill="1" applyBorder="1"/>
    <xf numFmtId="0" fontId="0" fillId="3" borderId="3" xfId="0" applyFill="1" applyBorder="1"/>
    <xf numFmtId="10" fontId="1" fillId="3" borderId="4" xfId="0" applyNumberFormat="1" applyFont="1" applyFill="1" applyBorder="1"/>
    <xf numFmtId="0" fontId="1" fillId="3" borderId="5" xfId="0" applyFont="1" applyFill="1" applyBorder="1"/>
    <xf numFmtId="0" fontId="0" fillId="3" borderId="6" xfId="0" applyFill="1" applyBorder="1"/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165" fontId="1" fillId="3" borderId="1" xfId="1" applyNumberFormat="1" applyFont="1" applyFill="1" applyBorder="1" applyAlignment="1">
      <alignment horizontal="center" wrapText="1"/>
    </xf>
    <xf numFmtId="166" fontId="1" fillId="3" borderId="1" xfId="1" applyNumberFormat="1" applyFont="1" applyFill="1" applyBorder="1" applyAlignment="1">
      <alignment horizontal="center" wrapText="1"/>
    </xf>
    <xf numFmtId="0" fontId="1" fillId="3" borderId="0" xfId="0" applyFont="1" applyFill="1" applyAlignment="1">
      <alignment wrapText="1"/>
    </xf>
    <xf numFmtId="0" fontId="0" fillId="3" borderId="1" xfId="0" applyFill="1" applyBorder="1" applyAlignment="1">
      <alignment horizontal="center"/>
    </xf>
    <xf numFmtId="165" fontId="0" fillId="3" borderId="1" xfId="1" applyNumberFormat="1" applyFont="1" applyFill="1" applyBorder="1" applyAlignment="1">
      <alignment horizontal="center"/>
    </xf>
    <xf numFmtId="10" fontId="0" fillId="3" borderId="1" xfId="2" applyNumberFormat="1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3" fontId="0" fillId="3" borderId="1" xfId="0" applyNumberFormat="1" applyFill="1" applyBorder="1" applyAlignment="1">
      <alignment horizontal="center"/>
    </xf>
    <xf numFmtId="0" fontId="1" fillId="0" borderId="0" xfId="0" applyFont="1"/>
    <xf numFmtId="0" fontId="8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3" fontId="1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1" applyNumberFormat="1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10" fontId="0" fillId="0" borderId="1" xfId="2" applyNumberFormat="1" applyFont="1" applyFill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3" fontId="9" fillId="0" borderId="0" xfId="0" applyNumberFormat="1" applyFont="1" applyAlignment="1">
      <alignment horizontal="center"/>
    </xf>
    <xf numFmtId="3" fontId="0" fillId="3" borderId="0" xfId="0" applyNumberFormat="1" applyFill="1"/>
    <xf numFmtId="0" fontId="1" fillId="3" borderId="9" xfId="0" applyFont="1" applyFill="1" applyBorder="1"/>
    <xf numFmtId="0" fontId="0" fillId="3" borderId="10" xfId="0" applyFill="1" applyBorder="1"/>
    <xf numFmtId="4" fontId="1" fillId="3" borderId="11" xfId="0" applyNumberFormat="1" applyFont="1" applyFill="1" applyBorder="1"/>
    <xf numFmtId="4" fontId="1" fillId="3" borderId="12" xfId="0" applyNumberFormat="1" applyFont="1" applyFill="1" applyBorder="1"/>
    <xf numFmtId="4" fontId="0" fillId="3" borderId="0" xfId="0" applyNumberFormat="1" applyFill="1"/>
    <xf numFmtId="4" fontId="1" fillId="2" borderId="8" xfId="0" applyNumberFormat="1" applyFont="1" applyFill="1" applyBorder="1"/>
    <xf numFmtId="4" fontId="1" fillId="2" borderId="12" xfId="0" applyNumberFormat="1" applyFont="1" applyFill="1" applyBorder="1"/>
    <xf numFmtId="0" fontId="10" fillId="0" borderId="0" xfId="0" applyFont="1"/>
    <xf numFmtId="0" fontId="0" fillId="3" borderId="13" xfId="0" applyFill="1" applyBorder="1"/>
    <xf numFmtId="0" fontId="0" fillId="3" borderId="14" xfId="0" applyFill="1" applyBorder="1"/>
    <xf numFmtId="0" fontId="1" fillId="3" borderId="15" xfId="0" applyFont="1" applyFill="1" applyBorder="1"/>
    <xf numFmtId="0" fontId="1" fillId="3" borderId="16" xfId="0" applyFont="1" applyFill="1" applyBorder="1"/>
    <xf numFmtId="164" fontId="1" fillId="0" borderId="7" xfId="0" applyNumberFormat="1" applyFont="1" applyBorder="1"/>
    <xf numFmtId="167" fontId="0" fillId="3" borderId="0" xfId="0" applyNumberFormat="1" applyFill="1"/>
    <xf numFmtId="43" fontId="0" fillId="3" borderId="0" xfId="0" applyNumberFormat="1" applyFill="1"/>
    <xf numFmtId="3" fontId="0" fillId="0" borderId="0" xfId="0" applyNumberFormat="1"/>
    <xf numFmtId="4" fontId="1" fillId="2" borderId="11" xfId="0" applyNumberFormat="1" applyFont="1" applyFill="1" applyBorder="1"/>
    <xf numFmtId="0" fontId="1" fillId="4" borderId="0" xfId="0" applyFont="1" applyFill="1"/>
    <xf numFmtId="0" fontId="0" fillId="4" borderId="0" xfId="0" applyFill="1" applyAlignment="1">
      <alignment horizontal="center"/>
    </xf>
    <xf numFmtId="3" fontId="1" fillId="4" borderId="0" xfId="0" applyNumberFormat="1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200025</xdr:colOff>
      <xdr:row>1</xdr:row>
      <xdr:rowOff>85725</xdr:rowOff>
    </xdr:from>
    <xdr:to>
      <xdr:col>4</xdr:col>
      <xdr:colOff>726440</xdr:colOff>
      <xdr:row>4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C5D730C-76EB-4AFE-A6D0-2BF4916A57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6400" y="276225"/>
          <a:ext cx="2412365" cy="723900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mc="http://schemas.openxmlformats.org/markup-compatibility/2006" xmlns:aink="http://schemas.microsoft.com/office/drawing/2016/ink" xmlns:am3d="http://schemas.microsoft.com/office/drawing/2017/model3d" xmlns:oel="http://schemas.microsoft.com/office/2019/extlst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16cex="http://schemas.microsoft.com/office/word/2018/wordml/cex" xmlns:w16cid="http://schemas.microsoft.com/office/word/2016/wordml/cid" xmlns:w16="http://schemas.microsoft.com/office/word/2018/wordml" xmlns:w16sdtdh="http://schemas.microsoft.com/office/word/2020/wordml/sdtdatahash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lc="http://schemas.openxmlformats.org/drawingml/2006/lockedCanvas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200025</xdr:colOff>
      <xdr:row>1</xdr:row>
      <xdr:rowOff>85725</xdr:rowOff>
    </xdr:from>
    <xdr:to>
      <xdr:col>4</xdr:col>
      <xdr:colOff>726440</xdr:colOff>
      <xdr:row>4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400891-12AB-4C2A-B3F2-1F2A29A770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6400" y="276225"/>
          <a:ext cx="2412365" cy="723900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6sdtdh="http://schemas.microsoft.com/office/word/2020/wordml/sdtdatahash" xmlns:w16="http://schemas.microsoft.com/office/word/2018/wordml" xmlns:w16cid="http://schemas.microsoft.com/office/word/2016/wordml/cid" xmlns:w16cex="http://schemas.microsoft.com/office/word/2018/wordml/c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oel="http://schemas.microsoft.com/office/2019/extlst" xmlns:am3d="http://schemas.microsoft.com/office/drawing/2017/model3d" xmlns:aink="http://schemas.microsoft.com/office/drawing/2016/ink" xmlns:mc="http://schemas.openxmlformats.org/markup-compatibility/2006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:wpc="http://schemas.microsoft.com/office/word/2010/wordprocessingCanvas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200025</xdr:colOff>
      <xdr:row>1</xdr:row>
      <xdr:rowOff>85725</xdr:rowOff>
    </xdr:from>
    <xdr:to>
      <xdr:col>4</xdr:col>
      <xdr:colOff>726440</xdr:colOff>
      <xdr:row>4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1E2F810-11FC-93A3-5737-10B5074D81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" y="85725"/>
          <a:ext cx="2412365" cy="723900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mc="http://schemas.openxmlformats.org/markup-compatibility/2006" xmlns:aink="http://schemas.microsoft.com/office/drawing/2016/ink" xmlns:am3d="http://schemas.microsoft.com/office/drawing/2017/model3d" xmlns:oel="http://schemas.microsoft.com/office/2019/extlst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16cex="http://schemas.microsoft.com/office/word/2018/wordml/cex" xmlns:w16cid="http://schemas.microsoft.com/office/word/2016/wordml/cid" xmlns:w16="http://schemas.microsoft.com/office/word/2018/wordml" xmlns:w16sdtdh="http://schemas.microsoft.com/office/word/2020/wordml/sdtdatahash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lc="http://schemas.openxmlformats.org/drawingml/2006/lockedCanvas"/>
          </a:ext>
        </a:extLst>
      </xdr:spPr>
    </xdr:pic>
    <xdr:clientData/>
  </xdr:twoCellAnchor>
  <xdr:oneCellAnchor>
    <xdr:from>
      <xdr:col>9</xdr:col>
      <xdr:colOff>200025</xdr:colOff>
      <xdr:row>1</xdr:row>
      <xdr:rowOff>85725</xdr:rowOff>
    </xdr:from>
    <xdr:ext cx="2412365" cy="723900"/>
    <xdr:pic>
      <xdr:nvPicPr>
        <xdr:cNvPr id="3" name="Picture 2">
          <a:extLst>
            <a:ext uri="{FF2B5EF4-FFF2-40B4-BE49-F238E27FC236}">
              <a16:creationId xmlns:a16="http://schemas.microsoft.com/office/drawing/2014/main" id="{E6CB2E00-F86A-4D52-AE04-1AFB488D2C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6400" y="276225"/>
          <a:ext cx="2412365" cy="723900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mc="http://schemas.openxmlformats.org/markup-compatibility/2006" xmlns:aink="http://schemas.microsoft.com/office/drawing/2016/ink" xmlns:am3d="http://schemas.microsoft.com/office/drawing/2017/model3d" xmlns:oel="http://schemas.microsoft.com/office/2019/extlst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16cex="http://schemas.microsoft.com/office/word/2018/wordml/cex" xmlns:w16cid="http://schemas.microsoft.com/office/word/2016/wordml/cid" xmlns:w16="http://schemas.microsoft.com/office/word/2018/wordml" xmlns:w16sdtdh="http://schemas.microsoft.com/office/word/2020/wordml/sdtdatahash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lc="http://schemas.openxmlformats.org/drawingml/2006/lockedCanvas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75E0C-0CDF-41CE-87AB-D94F7A9514FA}">
  <dimension ref="B4:K45"/>
  <sheetViews>
    <sheetView topLeftCell="A6" zoomScale="115" zoomScaleNormal="115" workbookViewId="0">
      <selection activeCell="E14" sqref="E14"/>
    </sheetView>
  </sheetViews>
  <sheetFormatPr defaultColWidth="9.140625" defaultRowHeight="15" x14ac:dyDescent="0.25"/>
  <cols>
    <col min="1" max="1" width="8" style="2" customWidth="1"/>
    <col min="2" max="4" width="14.140625" style="2" customWidth="1"/>
    <col min="5" max="5" width="14.140625" style="3" customWidth="1"/>
    <col min="6" max="6" width="14.140625" style="2" customWidth="1"/>
    <col min="7" max="7" width="8" style="2" customWidth="1"/>
    <col min="8" max="8" width="9.140625" style="2" customWidth="1"/>
    <col min="9" max="10" width="11.140625" style="2" bestFit="1" customWidth="1"/>
    <col min="11" max="16384" width="9.140625" style="2"/>
  </cols>
  <sheetData>
    <row r="4" spans="3:5" ht="23.25" x14ac:dyDescent="0.35">
      <c r="D4" s="4"/>
    </row>
    <row r="5" spans="3:5" x14ac:dyDescent="0.25">
      <c r="D5" s="5"/>
    </row>
    <row r="6" spans="3:5" x14ac:dyDescent="0.25">
      <c r="D6" s="5"/>
    </row>
    <row r="7" spans="3:5" x14ac:dyDescent="0.25">
      <c r="D7" s="5"/>
    </row>
    <row r="8" spans="3:5" ht="21" x14ac:dyDescent="0.35">
      <c r="D8" s="21" t="s">
        <v>8</v>
      </c>
    </row>
    <row r="9" spans="3:5" x14ac:dyDescent="0.25">
      <c r="D9" s="6" t="s">
        <v>39</v>
      </c>
    </row>
    <row r="10" spans="3:5" ht="15.75" thickBot="1" x14ac:dyDescent="0.3"/>
    <row r="11" spans="3:5" x14ac:dyDescent="0.25">
      <c r="C11" s="52" t="s">
        <v>1</v>
      </c>
      <c r="D11" s="50"/>
      <c r="E11" s="9">
        <v>1.7500000000000002E-2</v>
      </c>
    </row>
    <row r="12" spans="3:5" x14ac:dyDescent="0.25">
      <c r="C12" s="42" t="s">
        <v>21</v>
      </c>
      <c r="D12" s="43"/>
      <c r="E12" s="47">
        <v>3</v>
      </c>
    </row>
    <row r="13" spans="3:5" x14ac:dyDescent="0.25">
      <c r="C13" s="42" t="s">
        <v>26</v>
      </c>
      <c r="D13" s="43"/>
      <c r="E13" s="44">
        <f>((E14*E12)-E15)/E12</f>
        <v>52.666666666666664</v>
      </c>
    </row>
    <row r="14" spans="3:5" x14ac:dyDescent="0.25">
      <c r="C14" s="42" t="s">
        <v>0</v>
      </c>
      <c r="D14" s="43"/>
      <c r="E14" s="48">
        <v>9100</v>
      </c>
    </row>
    <row r="15" spans="3:5" ht="15.75" thickBot="1" x14ac:dyDescent="0.3">
      <c r="C15" s="53" t="s">
        <v>34</v>
      </c>
      <c r="D15" s="51"/>
      <c r="E15" s="54">
        <f>ROUND(VLOOKUP(E12,B:D,3,0),0)</f>
        <v>27142</v>
      </c>
    </row>
    <row r="17" spans="2:6" x14ac:dyDescent="0.25">
      <c r="D17" s="13" t="s">
        <v>22</v>
      </c>
    </row>
    <row r="18" spans="2:6" x14ac:dyDescent="0.25">
      <c r="D18" s="13" t="s">
        <v>23</v>
      </c>
    </row>
    <row r="19" spans="2:6" x14ac:dyDescent="0.25">
      <c r="B19" s="12"/>
      <c r="C19" s="12"/>
      <c r="D19" s="13" t="s">
        <v>24</v>
      </c>
    </row>
    <row r="21" spans="2:6" s="17" customFormat="1" ht="30" x14ac:dyDescent="0.25">
      <c r="B21" s="14" t="s">
        <v>5</v>
      </c>
      <c r="C21" s="15" t="s">
        <v>3</v>
      </c>
      <c r="D21" s="14" t="s">
        <v>6</v>
      </c>
      <c r="E21" s="16" t="s">
        <v>7</v>
      </c>
      <c r="F21" s="14" t="s">
        <v>2</v>
      </c>
    </row>
    <row r="22" spans="2:6" x14ac:dyDescent="0.25">
      <c r="B22" s="18">
        <v>21</v>
      </c>
      <c r="C22" s="19">
        <f t="shared" ref="C22:C39" si="0">C23/(1+$E$11/3)</f>
        <v>0.89018345665162757</v>
      </c>
      <c r="D22" s="22">
        <f>SUM(C22:$C$42)*$E$14</f>
        <v>180413.80762346036</v>
      </c>
      <c r="E22" s="22">
        <f t="shared" ref="E22:E41" si="1">B22*$E$14-D22</f>
        <v>10686.192376539635</v>
      </c>
      <c r="F22" s="20">
        <f t="shared" ref="F22:F42" si="2">E22/(B22*$E$14)</f>
        <v>5.5919374026895001E-2</v>
      </c>
    </row>
    <row r="23" spans="2:6" x14ac:dyDescent="0.25">
      <c r="B23" s="18">
        <v>20</v>
      </c>
      <c r="C23" s="19">
        <f t="shared" si="0"/>
        <v>0.89537619348209541</v>
      </c>
      <c r="D23" s="22">
        <f>SUM(C23:$C$42)*$E$14</f>
        <v>172313.13816793056</v>
      </c>
      <c r="E23" s="22">
        <f t="shared" si="1"/>
        <v>9686.8618320694368</v>
      </c>
      <c r="F23" s="20">
        <f t="shared" si="2"/>
        <v>5.3224515560821084E-2</v>
      </c>
    </row>
    <row r="24" spans="2:6" x14ac:dyDescent="0.25">
      <c r="B24" s="34">
        <v>19</v>
      </c>
      <c r="C24" s="35">
        <f t="shared" si="0"/>
        <v>0.90059922127740766</v>
      </c>
      <c r="D24" s="22">
        <f>SUM(C24:$C$42)*$E$14</f>
        <v>164165.21480724349</v>
      </c>
      <c r="E24" s="36">
        <f t="shared" si="1"/>
        <v>8734.7851927565061</v>
      </c>
      <c r="F24" s="37">
        <f t="shared" si="2"/>
        <v>5.0519289720974588E-2</v>
      </c>
    </row>
    <row r="25" spans="2:6" x14ac:dyDescent="0.25">
      <c r="B25" s="18">
        <v>18</v>
      </c>
      <c r="C25" s="19">
        <f t="shared" si="0"/>
        <v>0.90585271673485923</v>
      </c>
      <c r="D25" s="22">
        <f>SUM(C25:$C$42)*$E$14</f>
        <v>155969.76189361908</v>
      </c>
      <c r="E25" s="22">
        <f t="shared" si="1"/>
        <v>7830.2381063809153</v>
      </c>
      <c r="F25" s="20">
        <f t="shared" si="2"/>
        <v>4.7803651443106929E-2</v>
      </c>
    </row>
    <row r="26" spans="2:6" x14ac:dyDescent="0.25">
      <c r="B26" s="18">
        <v>17</v>
      </c>
      <c r="C26" s="19">
        <f t="shared" si="0"/>
        <v>0.91113685758247931</v>
      </c>
      <c r="D26" s="22">
        <f>SUM(C26:$C$42)*$E$14</f>
        <v>147726.5021713319</v>
      </c>
      <c r="E26" s="22">
        <f t="shared" si="1"/>
        <v>6973.4978286680998</v>
      </c>
      <c r="F26" s="20">
        <f t="shared" si="2"/>
        <v>4.5077555453575308E-2</v>
      </c>
    </row>
    <row r="27" spans="2:6" x14ac:dyDescent="0.25">
      <c r="B27" s="18">
        <v>16</v>
      </c>
      <c r="C27" s="19">
        <f t="shared" si="0"/>
        <v>0.91645182258504376</v>
      </c>
      <c r="D27" s="22">
        <f>SUM(C27:$C$42)*$E$14</f>
        <v>139435.15676733133</v>
      </c>
      <c r="E27" s="22">
        <f t="shared" si="1"/>
        <v>6164.8432326686743</v>
      </c>
      <c r="F27" s="20">
        <f t="shared" si="2"/>
        <v>4.234095626832881E-2</v>
      </c>
    </row>
    <row r="28" spans="2:6" x14ac:dyDescent="0.25">
      <c r="B28" s="18">
        <v>15</v>
      </c>
      <c r="C28" s="19">
        <f t="shared" si="0"/>
        <v>0.9217977915501232</v>
      </c>
      <c r="D28" s="22">
        <f>SUM(C28:$C$42)*$E$14</f>
        <v>131095.44518180744</v>
      </c>
      <c r="E28" s="22">
        <f t="shared" si="1"/>
        <v>5404.5548181925551</v>
      </c>
      <c r="F28" s="20">
        <f t="shared" si="2"/>
        <v>3.9593808191886848E-2</v>
      </c>
    </row>
    <row r="29" spans="2:6" x14ac:dyDescent="0.25">
      <c r="B29" s="18">
        <v>14</v>
      </c>
      <c r="C29" s="19">
        <f t="shared" si="0"/>
        <v>0.92717494533416556</v>
      </c>
      <c r="D29" s="22">
        <f>SUM(C29:$C$42)*$E$14</f>
        <v>122707.08527870131</v>
      </c>
      <c r="E29" s="22">
        <f t="shared" si="1"/>
        <v>4692.9147212986863</v>
      </c>
      <c r="F29" s="20">
        <f t="shared" si="2"/>
        <v>3.6836065316316217E-2</v>
      </c>
    </row>
    <row r="30" spans="2:6" x14ac:dyDescent="0.25">
      <c r="B30" s="18">
        <v>13</v>
      </c>
      <c r="C30" s="19">
        <f t="shared" si="0"/>
        <v>0.93258346584861485</v>
      </c>
      <c r="D30" s="22">
        <f>SUM(C30:$C$42)*$E$14</f>
        <v>114269.7932761604</v>
      </c>
      <c r="E30" s="22">
        <f t="shared" si="1"/>
        <v>4030.2067238395975</v>
      </c>
      <c r="F30" s="20">
        <f t="shared" si="2"/>
        <v>3.4067681520199469E-2</v>
      </c>
    </row>
    <row r="31" spans="2:6" x14ac:dyDescent="0.25">
      <c r="B31" s="18">
        <v>12</v>
      </c>
      <c r="C31" s="19">
        <f t="shared" si="0"/>
        <v>0.93802353606606514</v>
      </c>
      <c r="D31" s="22">
        <f>SUM(C31:$C$42)*$E$14</f>
        <v>105783.283736938</v>
      </c>
      <c r="E31" s="22">
        <f t="shared" si="1"/>
        <v>3416.7162630620005</v>
      </c>
      <c r="F31" s="20">
        <f t="shared" si="2"/>
        <v>3.1288610467600737E-2</v>
      </c>
    </row>
    <row r="32" spans="2:6" x14ac:dyDescent="0.25">
      <c r="B32" s="18">
        <v>11</v>
      </c>
      <c r="C32" s="19">
        <f t="shared" si="0"/>
        <v>0.94349534002645052</v>
      </c>
      <c r="D32" s="22">
        <f>SUM(C32:$C$42)*$E$14</f>
        <v>97247.269558736807</v>
      </c>
      <c r="E32" s="22">
        <f t="shared" si="1"/>
        <v>2852.7304412631929</v>
      </c>
      <c r="F32" s="20">
        <f t="shared" si="2"/>
        <v>2.8498805607024905E-2</v>
      </c>
    </row>
    <row r="33" spans="2:11" customFormat="1" x14ac:dyDescent="0.25">
      <c r="B33" s="34">
        <v>10</v>
      </c>
      <c r="C33" s="35">
        <f t="shared" si="0"/>
        <v>0.94899906284327151</v>
      </c>
      <c r="D33" s="22">
        <f>SUM(C33:$C$42)*$E$14</f>
        <v>88661.461964496106</v>
      </c>
      <c r="E33" s="36">
        <f t="shared" si="1"/>
        <v>2338.5380355038942</v>
      </c>
      <c r="F33" s="37">
        <f t="shared" si="2"/>
        <v>2.5698220170372463E-2</v>
      </c>
    </row>
    <row r="34" spans="2:11" x14ac:dyDescent="0.25">
      <c r="B34" s="18">
        <v>9</v>
      </c>
      <c r="C34" s="19">
        <f t="shared" si="0"/>
        <v>0.95453489070985731</v>
      </c>
      <c r="D34" s="22">
        <f>SUM(C34:$C$42)*$E$14</f>
        <v>80025.570492622341</v>
      </c>
      <c r="E34" s="22">
        <f t="shared" si="1"/>
        <v>1874.4295073776593</v>
      </c>
      <c r="F34" s="20">
        <f t="shared" si="2"/>
        <v>2.2886807171888391E-2</v>
      </c>
      <c r="I34" s="41"/>
      <c r="J34" s="56"/>
    </row>
    <row r="35" spans="2:11" x14ac:dyDescent="0.25">
      <c r="B35" s="18">
        <v>8</v>
      </c>
      <c r="C35" s="19">
        <f t="shared" si="0"/>
        <v>0.96010301090566486</v>
      </c>
      <c r="D35" s="22">
        <f>SUM(C35:$C$42)*$E$14</f>
        <v>71339.302987162635</v>
      </c>
      <c r="E35" s="22">
        <f t="shared" si="1"/>
        <v>1460.697012837365</v>
      </c>
      <c r="F35" s="20">
        <f t="shared" si="2"/>
        <v>2.0064519407106664E-2</v>
      </c>
      <c r="I35" s="41"/>
      <c r="J35" s="56"/>
    </row>
    <row r="36" spans="2:11" x14ac:dyDescent="0.25">
      <c r="B36" s="18">
        <v>7</v>
      </c>
      <c r="C36" s="19">
        <f t="shared" si="0"/>
        <v>0.96570361180261455</v>
      </c>
      <c r="D36" s="22">
        <f>SUM(C36:$C$42)*$E$14</f>
        <v>62602.365587921086</v>
      </c>
      <c r="E36" s="22">
        <f t="shared" si="1"/>
        <v>1097.6344120789145</v>
      </c>
      <c r="F36" s="20">
        <f t="shared" si="2"/>
        <v>1.7231309451788294E-2</v>
      </c>
      <c r="H36" s="41"/>
      <c r="I36" s="41"/>
      <c r="J36" s="56"/>
    </row>
    <row r="37" spans="2:11" x14ac:dyDescent="0.25">
      <c r="B37" s="34">
        <v>6</v>
      </c>
      <c r="C37" s="35">
        <f t="shared" si="0"/>
        <v>0.97133688287146314</v>
      </c>
      <c r="D37" s="22">
        <f>SUM(C37:$C$42)*$E$14</f>
        <v>53814.462720517295</v>
      </c>
      <c r="E37" s="36">
        <f t="shared" si="1"/>
        <v>785.53727948270534</v>
      </c>
      <c r="F37" s="37">
        <f t="shared" si="2"/>
        <v>1.4387129660855409E-2</v>
      </c>
      <c r="H37" s="41"/>
      <c r="I37" s="41"/>
      <c r="J37" s="56"/>
    </row>
    <row r="38" spans="2:11" x14ac:dyDescent="0.25">
      <c r="B38" s="18">
        <v>5</v>
      </c>
      <c r="C38" s="19">
        <f t="shared" si="0"/>
        <v>0.97700301468821338</v>
      </c>
      <c r="D38" s="22">
        <f>SUM(C38:$C$42)*$E$14</f>
        <v>44975.297086386985</v>
      </c>
      <c r="E38" s="22">
        <f t="shared" si="1"/>
        <v>524.70291361301497</v>
      </c>
      <c r="F38" s="20">
        <f t="shared" si="2"/>
        <v>1.1531932167319011E-2</v>
      </c>
      <c r="H38" s="41"/>
      <c r="I38" s="41"/>
      <c r="J38" s="56"/>
    </row>
    <row r="39" spans="2:11" x14ac:dyDescent="0.25">
      <c r="B39" s="18">
        <v>4</v>
      </c>
      <c r="C39" s="19">
        <f t="shared" si="0"/>
        <v>0.98270219894056132</v>
      </c>
      <c r="D39" s="22">
        <f>SUM(C39:$C$42)*$E$14</f>
        <v>36084.56965272424</v>
      </c>
      <c r="E39" s="22">
        <f t="shared" si="1"/>
        <v>315.43034727576014</v>
      </c>
      <c r="F39" s="20">
        <f t="shared" si="2"/>
        <v>8.6656688812022011E-3</v>
      </c>
      <c r="H39" s="41"/>
      <c r="I39" s="41"/>
      <c r="J39" s="56"/>
    </row>
    <row r="40" spans="2:11" x14ac:dyDescent="0.25">
      <c r="B40" s="18">
        <v>3</v>
      </c>
      <c r="C40" s="19">
        <f>C41/(1+$E$11/3)</f>
        <v>0.98843462843438123</v>
      </c>
      <c r="D40" s="22">
        <f>SUM(C40:$C$42)*$E$14</f>
        <v>27141.979642365131</v>
      </c>
      <c r="E40" s="22">
        <f t="shared" si="1"/>
        <v>158.02035763486856</v>
      </c>
      <c r="F40" s="20">
        <f t="shared" si="2"/>
        <v>5.7882914884567239E-3</v>
      </c>
      <c r="H40" s="41"/>
      <c r="I40" s="41"/>
      <c r="J40" s="56"/>
    </row>
    <row r="41" spans="2:11" x14ac:dyDescent="0.25">
      <c r="B41" s="18">
        <v>2</v>
      </c>
      <c r="C41" s="19">
        <f>C42/(1+$E$11/3)</f>
        <v>0.99420049710024849</v>
      </c>
      <c r="D41" s="22">
        <f>SUM(C41:$C$42)*$E$14</f>
        <v>18147.224523612262</v>
      </c>
      <c r="E41" s="22">
        <f t="shared" si="1"/>
        <v>52.775476387738308</v>
      </c>
      <c r="F41" s="20">
        <f t="shared" si="2"/>
        <v>2.8997514498757312E-3</v>
      </c>
      <c r="H41" s="41"/>
      <c r="I41" s="41"/>
      <c r="J41" s="56"/>
    </row>
    <row r="42" spans="2:11" x14ac:dyDescent="0.25">
      <c r="B42" s="18">
        <v>1</v>
      </c>
      <c r="C42" s="19">
        <v>1</v>
      </c>
      <c r="D42" s="22">
        <f>$E$14</f>
        <v>9100</v>
      </c>
      <c r="E42" s="22">
        <f>B42*$E$14-D42</f>
        <v>0</v>
      </c>
      <c r="F42" s="20">
        <f t="shared" si="2"/>
        <v>0</v>
      </c>
      <c r="I42" s="41"/>
    </row>
    <row r="43" spans="2:11" x14ac:dyDescent="0.25">
      <c r="I43" s="56"/>
      <c r="J43" s="56"/>
      <c r="K43" s="56"/>
    </row>
    <row r="44" spans="2:11" x14ac:dyDescent="0.25">
      <c r="J44" s="41"/>
    </row>
    <row r="45" spans="2:11" x14ac:dyDescent="0.25">
      <c r="J45" s="41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EF7DB-FE89-48B1-AC9F-182153A470DE}">
  <dimension ref="B4:V46"/>
  <sheetViews>
    <sheetView zoomScaleNormal="100" workbookViewId="0">
      <selection activeCell="D38" sqref="D38"/>
    </sheetView>
  </sheetViews>
  <sheetFormatPr defaultColWidth="9.140625" defaultRowHeight="15" x14ac:dyDescent="0.25"/>
  <cols>
    <col min="1" max="1" width="8" style="2" customWidth="1"/>
    <col min="2" max="4" width="14.140625" style="2" customWidth="1"/>
    <col min="5" max="5" width="14.140625" style="3" customWidth="1"/>
    <col min="6" max="6" width="14.140625" style="2" customWidth="1"/>
    <col min="7" max="7" width="8" style="2" customWidth="1"/>
    <col min="8" max="8" width="10.5703125" style="2" bestFit="1" customWidth="1"/>
    <col min="9" max="11" width="9.140625" style="2"/>
    <col min="12" max="12" width="11.5703125" style="2" bestFit="1" customWidth="1"/>
    <col min="13" max="14" width="9.140625" style="2"/>
    <col min="15" max="15" width="10.5703125" style="2" bestFit="1" customWidth="1"/>
    <col min="16" max="18" width="9.140625" style="2"/>
    <col min="19" max="19" width="11.5703125" style="2" bestFit="1" customWidth="1"/>
    <col min="20" max="20" width="9.140625" style="2"/>
    <col min="21" max="21" width="11.5703125" style="2" bestFit="1" customWidth="1"/>
    <col min="22" max="22" width="10.5703125" style="2" bestFit="1" customWidth="1"/>
    <col min="23" max="16384" width="9.140625" style="2"/>
  </cols>
  <sheetData>
    <row r="4" spans="3:6" ht="23.25" x14ac:dyDescent="0.35">
      <c r="D4" s="4"/>
    </row>
    <row r="5" spans="3:6" x14ac:dyDescent="0.25">
      <c r="D5" s="5"/>
    </row>
    <row r="6" spans="3:6" x14ac:dyDescent="0.25">
      <c r="D6" s="5"/>
    </row>
    <row r="7" spans="3:6" x14ac:dyDescent="0.25">
      <c r="D7" s="5"/>
    </row>
    <row r="8" spans="3:6" ht="21" x14ac:dyDescent="0.35">
      <c r="D8" s="21" t="s">
        <v>8</v>
      </c>
    </row>
    <row r="9" spans="3:6" x14ac:dyDescent="0.25">
      <c r="D9" s="6" t="s">
        <v>39</v>
      </c>
    </row>
    <row r="10" spans="3:6" ht="15.75" thickBot="1" x14ac:dyDescent="0.3"/>
    <row r="11" spans="3:6" x14ac:dyDescent="0.25">
      <c r="C11" s="52" t="s">
        <v>1</v>
      </c>
      <c r="D11" s="50"/>
      <c r="E11" s="9">
        <v>1.7500000000000002E-2</v>
      </c>
    </row>
    <row r="12" spans="3:6" x14ac:dyDescent="0.25">
      <c r="C12" s="42" t="s">
        <v>21</v>
      </c>
      <c r="D12" s="43"/>
      <c r="E12" s="47">
        <v>6</v>
      </c>
    </row>
    <row r="13" spans="3:6" x14ac:dyDescent="0.25">
      <c r="C13" s="42" t="s">
        <v>36</v>
      </c>
      <c r="D13" s="43"/>
      <c r="E13" s="58">
        <f>(E15*E12)-E16</f>
        <v>815</v>
      </c>
    </row>
    <row r="14" spans="3:6" x14ac:dyDescent="0.25">
      <c r="C14" s="42" t="s">
        <v>26</v>
      </c>
      <c r="D14" s="43"/>
      <c r="E14" s="44">
        <f>E13/E12</f>
        <v>135.83333333333334</v>
      </c>
    </row>
    <row r="15" spans="3:6" x14ac:dyDescent="0.25">
      <c r="C15" s="42" t="s">
        <v>0</v>
      </c>
      <c r="D15" s="43"/>
      <c r="E15" s="45">
        <f>ROUNDDOWN(E16/(SUMIFS(C:C,B:B,"&lt;"&amp;SUM(E12:E12,1))),0)</f>
        <v>9505</v>
      </c>
    </row>
    <row r="16" spans="3:6" ht="15.75" thickBot="1" x14ac:dyDescent="0.3">
      <c r="C16" s="53" t="s">
        <v>34</v>
      </c>
      <c r="D16" s="51"/>
      <c r="E16" s="1">
        <v>56215</v>
      </c>
      <c r="F16" s="46"/>
    </row>
    <row r="18" spans="2:6" x14ac:dyDescent="0.25">
      <c r="B18" s="12"/>
      <c r="C18" s="12"/>
      <c r="D18" s="13" t="s">
        <v>22</v>
      </c>
    </row>
    <row r="19" spans="2:6" x14ac:dyDescent="0.25">
      <c r="B19" s="12"/>
      <c r="C19" s="12"/>
      <c r="D19" s="13" t="s">
        <v>23</v>
      </c>
    </row>
    <row r="20" spans="2:6" x14ac:dyDescent="0.25">
      <c r="B20" s="12"/>
      <c r="C20" s="12"/>
      <c r="D20" s="13" t="s">
        <v>35</v>
      </c>
    </row>
    <row r="22" spans="2:6" s="17" customFormat="1" ht="30" x14ac:dyDescent="0.25">
      <c r="B22" s="14" t="s">
        <v>5</v>
      </c>
      <c r="C22" s="15" t="s">
        <v>3</v>
      </c>
      <c r="D22" s="14" t="s">
        <v>6</v>
      </c>
      <c r="E22" s="16" t="s">
        <v>7</v>
      </c>
      <c r="F22" s="14" t="s">
        <v>2</v>
      </c>
    </row>
    <row r="23" spans="2:6" x14ac:dyDescent="0.25">
      <c r="B23" s="18">
        <v>21</v>
      </c>
      <c r="C23" s="19">
        <f t="shared" ref="C23:C41" si="0">C24/(1+$E$11/3)</f>
        <v>0.89018345665162757</v>
      </c>
      <c r="D23" s="22">
        <f t="shared" ref="D23:D42" si="1">SUM(D24,C23*$E$15)</f>
        <v>188443.21334736166</v>
      </c>
      <c r="E23" s="22">
        <f t="shared" ref="E23:E43" si="2">B23*$E$15-D23</f>
        <v>11161.786652638344</v>
      </c>
      <c r="F23" s="20">
        <f>E23/(B23*$E$15)</f>
        <v>5.5919374026894834E-2</v>
      </c>
    </row>
    <row r="24" spans="2:6" x14ac:dyDescent="0.25">
      <c r="B24" s="18">
        <v>20</v>
      </c>
      <c r="C24" s="19">
        <f t="shared" si="0"/>
        <v>0.89537619348209541</v>
      </c>
      <c r="D24" s="22">
        <f t="shared" si="1"/>
        <v>179982.01959188795</v>
      </c>
      <c r="E24" s="22">
        <f t="shared" si="2"/>
        <v>10117.980408112053</v>
      </c>
      <c r="F24" s="20">
        <f t="shared" ref="F24:F43" si="3">E24/(B24*$E$15)</f>
        <v>5.3224515560820897E-2</v>
      </c>
    </row>
    <row r="25" spans="2:6" x14ac:dyDescent="0.25">
      <c r="B25" s="34">
        <v>19</v>
      </c>
      <c r="C25" s="35">
        <f t="shared" si="0"/>
        <v>0.90059922127740766</v>
      </c>
      <c r="D25" s="36">
        <f t="shared" si="1"/>
        <v>171471.46887284063</v>
      </c>
      <c r="E25" s="36">
        <f t="shared" si="2"/>
        <v>9123.5311271593673</v>
      </c>
      <c r="F25" s="20">
        <f t="shared" si="3"/>
        <v>5.0519289720974372E-2</v>
      </c>
    </row>
    <row r="26" spans="2:6" x14ac:dyDescent="0.25">
      <c r="B26" s="18">
        <v>18</v>
      </c>
      <c r="C26" s="19">
        <f t="shared" si="0"/>
        <v>0.90585271673485923</v>
      </c>
      <c r="D26" s="22">
        <f t="shared" si="1"/>
        <v>162911.27327459888</v>
      </c>
      <c r="E26" s="22">
        <f t="shared" si="2"/>
        <v>8178.726725401124</v>
      </c>
      <c r="F26" s="20">
        <f t="shared" si="3"/>
        <v>4.7803651443106693E-2</v>
      </c>
    </row>
    <row r="27" spans="2:6" x14ac:dyDescent="0.25">
      <c r="B27" s="18">
        <v>17</v>
      </c>
      <c r="C27" s="19">
        <f t="shared" si="0"/>
        <v>0.91113685758247931</v>
      </c>
      <c r="D27" s="22">
        <f t="shared" si="1"/>
        <v>154301.14320203403</v>
      </c>
      <c r="E27" s="22">
        <f t="shared" si="2"/>
        <v>7283.8567979659711</v>
      </c>
      <c r="F27" s="20">
        <f t="shared" si="3"/>
        <v>4.5077555453575335E-2</v>
      </c>
    </row>
    <row r="28" spans="2:6" x14ac:dyDescent="0.25">
      <c r="B28" s="18">
        <v>16</v>
      </c>
      <c r="C28" s="19">
        <f t="shared" si="0"/>
        <v>0.91645182258504376</v>
      </c>
      <c r="D28" s="22">
        <f t="shared" si="1"/>
        <v>145640.78737071255</v>
      </c>
      <c r="E28" s="22">
        <f t="shared" si="2"/>
        <v>6439.2126292874455</v>
      </c>
      <c r="F28" s="20">
        <f t="shared" si="3"/>
        <v>4.234095626832881E-2</v>
      </c>
    </row>
    <row r="29" spans="2:6" x14ac:dyDescent="0.25">
      <c r="B29" s="18">
        <v>15</v>
      </c>
      <c r="C29" s="19">
        <f t="shared" si="0"/>
        <v>0.9217977915501232</v>
      </c>
      <c r="D29" s="22">
        <f t="shared" si="1"/>
        <v>136929.9127970417</v>
      </c>
      <c r="E29" s="22">
        <f t="shared" si="2"/>
        <v>5645.087202958297</v>
      </c>
      <c r="F29" s="20">
        <f t="shared" si="3"/>
        <v>3.9593808191887056E-2</v>
      </c>
    </row>
    <row r="30" spans="2:6" x14ac:dyDescent="0.25">
      <c r="B30" s="18">
        <v>14</v>
      </c>
      <c r="C30" s="19">
        <f t="shared" si="0"/>
        <v>0.92717494533416556</v>
      </c>
      <c r="D30" s="22">
        <f t="shared" si="1"/>
        <v>128168.22478835779</v>
      </c>
      <c r="E30" s="22">
        <f t="shared" si="2"/>
        <v>4901.7752116422052</v>
      </c>
      <c r="F30" s="20">
        <f t="shared" si="3"/>
        <v>3.6836065316316266E-2</v>
      </c>
    </row>
    <row r="31" spans="2:6" x14ac:dyDescent="0.25">
      <c r="B31" s="18">
        <v>13</v>
      </c>
      <c r="C31" s="19">
        <f t="shared" si="0"/>
        <v>0.93258346584861485</v>
      </c>
      <c r="D31" s="22">
        <f t="shared" si="1"/>
        <v>119355.42693295654</v>
      </c>
      <c r="E31" s="22">
        <f t="shared" si="2"/>
        <v>4209.5730670434568</v>
      </c>
      <c r="F31" s="20">
        <f t="shared" si="3"/>
        <v>3.4067681520199546E-2</v>
      </c>
    </row>
    <row r="32" spans="2:6" x14ac:dyDescent="0.25">
      <c r="B32" s="18">
        <v>12</v>
      </c>
      <c r="C32" s="19">
        <f t="shared" si="0"/>
        <v>0.93802353606606514</v>
      </c>
      <c r="D32" s="22">
        <f t="shared" si="1"/>
        <v>110491.22109006546</v>
      </c>
      <c r="E32" s="22">
        <f t="shared" si="2"/>
        <v>3568.7789099345391</v>
      </c>
      <c r="F32" s="20">
        <f t="shared" si="3"/>
        <v>3.128861046760073E-2</v>
      </c>
    </row>
    <row r="33" spans="2:22" x14ac:dyDescent="0.25">
      <c r="B33" s="18">
        <v>11</v>
      </c>
      <c r="C33" s="19">
        <f t="shared" si="0"/>
        <v>0.94349534002645052</v>
      </c>
      <c r="D33" s="22">
        <f t="shared" si="1"/>
        <v>101575.30737975751</v>
      </c>
      <c r="E33" s="22">
        <f t="shared" si="2"/>
        <v>2979.6926202424947</v>
      </c>
      <c r="F33" s="20">
        <f t="shared" si="3"/>
        <v>2.849880560702496E-2</v>
      </c>
    </row>
    <row r="34" spans="2:22" x14ac:dyDescent="0.25">
      <c r="B34" s="34">
        <v>10</v>
      </c>
      <c r="C34" s="35">
        <f t="shared" si="0"/>
        <v>0.94899906284327151</v>
      </c>
      <c r="D34" s="36">
        <f t="shared" si="1"/>
        <v>92607.384172806094</v>
      </c>
      <c r="E34" s="36">
        <f t="shared" si="2"/>
        <v>2442.6158271939057</v>
      </c>
      <c r="F34" s="20">
        <f t="shared" si="3"/>
        <v>2.5698220170372495E-2</v>
      </c>
    </row>
    <row r="35" spans="2:22" x14ac:dyDescent="0.25">
      <c r="B35" s="18">
        <v>9</v>
      </c>
      <c r="C35" s="19">
        <f t="shared" si="0"/>
        <v>0.95453489070985731</v>
      </c>
      <c r="D35" s="22">
        <f t="shared" si="1"/>
        <v>83587.148080480794</v>
      </c>
      <c r="E35" s="22">
        <f t="shared" si="2"/>
        <v>1957.8519195192057</v>
      </c>
      <c r="F35" s="20">
        <f t="shared" si="3"/>
        <v>2.2886807171888547E-2</v>
      </c>
    </row>
    <row r="36" spans="2:22" x14ac:dyDescent="0.25">
      <c r="B36" s="18">
        <v>8</v>
      </c>
      <c r="C36" s="19">
        <f t="shared" si="0"/>
        <v>0.96010301090566486</v>
      </c>
      <c r="D36" s="22">
        <f t="shared" si="1"/>
        <v>74514.293944283607</v>
      </c>
      <c r="E36" s="22">
        <f t="shared" si="2"/>
        <v>1525.7060557163932</v>
      </c>
      <c r="F36" s="20">
        <f t="shared" si="3"/>
        <v>2.0064519407106695E-2</v>
      </c>
    </row>
    <row r="37" spans="2:22" x14ac:dyDescent="0.25">
      <c r="B37" s="18">
        <v>7</v>
      </c>
      <c r="C37" s="19">
        <f t="shared" si="0"/>
        <v>0.96570361180261455</v>
      </c>
      <c r="D37" s="22">
        <f t="shared" si="1"/>
        <v>65388.514825625258</v>
      </c>
      <c r="E37" s="22">
        <f t="shared" si="2"/>
        <v>1146.4851743747422</v>
      </c>
      <c r="F37" s="20">
        <f t="shared" si="3"/>
        <v>1.7231309451788416E-2</v>
      </c>
    </row>
    <row r="38" spans="2:22" x14ac:dyDescent="0.25">
      <c r="B38" s="34">
        <v>6</v>
      </c>
      <c r="C38" s="35">
        <f t="shared" si="0"/>
        <v>0.97133688287146314</v>
      </c>
      <c r="D38" s="36">
        <f t="shared" si="1"/>
        <v>56209.501995441409</v>
      </c>
      <c r="E38" s="36">
        <f t="shared" si="2"/>
        <v>820.49800455859076</v>
      </c>
      <c r="F38" s="20">
        <f t="shared" si="3"/>
        <v>1.4387129660855529E-2</v>
      </c>
      <c r="H38" s="55"/>
      <c r="L38" s="55"/>
      <c r="O38" s="55"/>
      <c r="S38" s="55"/>
      <c r="U38" s="55"/>
      <c r="V38" s="56"/>
    </row>
    <row r="39" spans="2:22" x14ac:dyDescent="0.25">
      <c r="B39" s="18">
        <v>5</v>
      </c>
      <c r="C39" s="19">
        <f t="shared" si="0"/>
        <v>0.97700301468821338</v>
      </c>
      <c r="D39" s="22">
        <f t="shared" si="1"/>
        <v>46976.944923748153</v>
      </c>
      <c r="E39" s="22">
        <f t="shared" si="2"/>
        <v>548.05507625184691</v>
      </c>
      <c r="F39" s="20">
        <f t="shared" si="3"/>
        <v>1.153193216731924E-2</v>
      </c>
      <c r="H39" s="55"/>
      <c r="L39" s="55"/>
      <c r="O39" s="55"/>
      <c r="S39" s="55"/>
      <c r="U39" s="55"/>
      <c r="V39" s="56"/>
    </row>
    <row r="40" spans="2:22" x14ac:dyDescent="0.25">
      <c r="B40" s="18">
        <v>4</v>
      </c>
      <c r="C40" s="19">
        <f t="shared" si="0"/>
        <v>0.98270219894056132</v>
      </c>
      <c r="D40" s="22">
        <f t="shared" si="1"/>
        <v>37690.531269136685</v>
      </c>
      <c r="E40" s="22">
        <f t="shared" si="2"/>
        <v>329.4687308633147</v>
      </c>
      <c r="F40" s="20">
        <f t="shared" si="3"/>
        <v>8.665668881202385E-3</v>
      </c>
      <c r="H40" s="55"/>
      <c r="L40" s="55"/>
      <c r="O40" s="55"/>
      <c r="S40" s="55"/>
      <c r="U40" s="55"/>
      <c r="V40" s="56"/>
    </row>
    <row r="41" spans="2:22" x14ac:dyDescent="0.25">
      <c r="B41" s="18">
        <v>3</v>
      </c>
      <c r="C41" s="19">
        <f t="shared" si="0"/>
        <v>0.98843462843438123</v>
      </c>
      <c r="D41" s="22">
        <f t="shared" si="1"/>
        <v>28349.946868206654</v>
      </c>
      <c r="E41" s="22">
        <f t="shared" si="2"/>
        <v>165.05313179334553</v>
      </c>
      <c r="F41" s="20">
        <f t="shared" si="3"/>
        <v>5.7882914884567959E-3</v>
      </c>
      <c r="H41" s="55"/>
      <c r="L41" s="55"/>
      <c r="O41" s="55"/>
      <c r="S41" s="55"/>
      <c r="U41" s="55"/>
      <c r="V41" s="56"/>
    </row>
    <row r="42" spans="2:22" x14ac:dyDescent="0.25">
      <c r="B42" s="18">
        <v>2</v>
      </c>
      <c r="C42" s="19">
        <f>C43/(1+$E$11/3)</f>
        <v>0.99420049710024849</v>
      </c>
      <c r="D42" s="22">
        <f t="shared" si="1"/>
        <v>18954.875724937861</v>
      </c>
      <c r="E42" s="22">
        <f t="shared" si="2"/>
        <v>55.124275062138622</v>
      </c>
      <c r="F42" s="20">
        <f t="shared" si="3"/>
        <v>2.8997514498757824E-3</v>
      </c>
      <c r="H42" s="55"/>
      <c r="L42" s="55"/>
      <c r="O42" s="55"/>
      <c r="S42" s="55"/>
      <c r="U42" s="55"/>
      <c r="V42" s="56"/>
    </row>
    <row r="43" spans="2:22" x14ac:dyDescent="0.25">
      <c r="B43" s="18">
        <v>1</v>
      </c>
      <c r="C43" s="19">
        <v>1</v>
      </c>
      <c r="D43" s="22">
        <f>$E$15</f>
        <v>9505</v>
      </c>
      <c r="E43" s="22">
        <f t="shared" si="2"/>
        <v>0</v>
      </c>
      <c r="F43" s="20">
        <f t="shared" si="3"/>
        <v>0</v>
      </c>
      <c r="H43" s="55"/>
      <c r="L43" s="55"/>
      <c r="O43" s="55"/>
      <c r="S43" s="55"/>
      <c r="U43" s="55"/>
      <c r="V43" s="56"/>
    </row>
    <row r="44" spans="2:22" x14ac:dyDescent="0.25">
      <c r="L44" s="55"/>
      <c r="S44" s="55"/>
    </row>
    <row r="46" spans="2:22" x14ac:dyDescent="0.25">
      <c r="L46" s="55"/>
      <c r="S46" s="55"/>
      <c r="V46" s="55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380EB-C03A-4717-B9DA-A4141D556455}">
  <dimension ref="A1:M28"/>
  <sheetViews>
    <sheetView tabSelected="1" zoomScaleNormal="100" workbookViewId="0">
      <selection activeCell="C3" sqref="C3"/>
    </sheetView>
  </sheetViews>
  <sheetFormatPr defaultRowHeight="15" x14ac:dyDescent="0.25"/>
  <cols>
    <col min="1" max="1" width="20.42578125" style="23" bestFit="1" customWidth="1"/>
    <col min="2" max="2" width="10.42578125" style="27" bestFit="1" customWidth="1"/>
    <col min="3" max="3" width="12.5703125" style="27" customWidth="1"/>
    <col min="4" max="4" width="11.7109375" style="27" bestFit="1" customWidth="1"/>
    <col min="5" max="5" width="12.140625" style="27" bestFit="1" customWidth="1"/>
    <col min="6" max="6" width="9.85546875" style="27" bestFit="1" customWidth="1"/>
  </cols>
  <sheetData>
    <row r="1" spans="1:13" s="25" customFormat="1" ht="45" x14ac:dyDescent="0.25">
      <c r="B1" s="26" t="s">
        <v>10</v>
      </c>
      <c r="C1" s="26" t="s">
        <v>20</v>
      </c>
      <c r="D1" s="26" t="s">
        <v>30</v>
      </c>
      <c r="E1" s="26" t="s">
        <v>17</v>
      </c>
      <c r="F1" s="26" t="s">
        <v>25</v>
      </c>
    </row>
    <row r="2" spans="1:13" x14ac:dyDescent="0.25">
      <c r="A2" s="23" t="s">
        <v>11</v>
      </c>
      <c r="B2" s="27">
        <v>3</v>
      </c>
      <c r="C2" s="28">
        <v>0</v>
      </c>
      <c r="D2" s="31">
        <f>9150*(1-C2)</f>
        <v>9150</v>
      </c>
      <c r="E2" s="31">
        <f t="shared" ref="E2:E5" si="0">(B2*(D2))</f>
        <v>27450</v>
      </c>
      <c r="F2" s="28" t="s">
        <v>40</v>
      </c>
    </row>
    <row r="3" spans="1:13" x14ac:dyDescent="0.25">
      <c r="A3" s="23" t="s">
        <v>12</v>
      </c>
      <c r="B3" s="27">
        <v>3</v>
      </c>
      <c r="C3" s="28">
        <f t="shared" ref="C3:C8" si="1">C2</f>
        <v>0</v>
      </c>
      <c r="D3" s="31">
        <f>ROUND(D2*(1+$F3),0)</f>
        <v>9608</v>
      </c>
      <c r="E3" s="31">
        <f t="shared" si="0"/>
        <v>28824</v>
      </c>
      <c r="F3" s="28">
        <v>0.05</v>
      </c>
    </row>
    <row r="4" spans="1:13" x14ac:dyDescent="0.25">
      <c r="A4" s="23" t="s">
        <v>13</v>
      </c>
      <c r="B4" s="27">
        <v>0</v>
      </c>
      <c r="C4" s="28">
        <f t="shared" si="1"/>
        <v>0</v>
      </c>
      <c r="D4" s="31">
        <f>ROUND(D3*(1+$F4),0)</f>
        <v>10088</v>
      </c>
      <c r="E4" s="31">
        <f t="shared" si="0"/>
        <v>0</v>
      </c>
      <c r="F4" s="28">
        <v>0.05</v>
      </c>
    </row>
    <row r="5" spans="1:13" x14ac:dyDescent="0.25">
      <c r="A5" s="23" t="s">
        <v>14</v>
      </c>
      <c r="B5" s="27">
        <v>0</v>
      </c>
      <c r="C5" s="28">
        <f t="shared" si="1"/>
        <v>0</v>
      </c>
      <c r="D5" s="31">
        <f>ROUND(D4*(1+$F5),0)</f>
        <v>10592</v>
      </c>
      <c r="E5" s="31">
        <f t="shared" si="0"/>
        <v>0</v>
      </c>
      <c r="F5" s="28">
        <v>0.05</v>
      </c>
    </row>
    <row r="6" spans="1:13" x14ac:dyDescent="0.25">
      <c r="A6" s="23" t="s">
        <v>15</v>
      </c>
      <c r="B6" s="27">
        <v>0</v>
      </c>
      <c r="C6" s="28">
        <f t="shared" si="1"/>
        <v>0</v>
      </c>
      <c r="D6" s="31">
        <f t="shared" ref="D6:D8" si="2">ROUND(D5*(1+$F6),0)</f>
        <v>11122</v>
      </c>
      <c r="E6" s="31">
        <f t="shared" ref="E6:E8" si="3">(B6*(D6))</f>
        <v>0</v>
      </c>
      <c r="F6" s="28">
        <v>0.05</v>
      </c>
    </row>
    <row r="7" spans="1:13" x14ac:dyDescent="0.25">
      <c r="A7" s="23" t="s">
        <v>18</v>
      </c>
      <c r="B7" s="27">
        <v>0</v>
      </c>
      <c r="C7" s="28">
        <f t="shared" si="1"/>
        <v>0</v>
      </c>
      <c r="D7" s="31">
        <f t="shared" si="2"/>
        <v>11678</v>
      </c>
      <c r="E7" s="31">
        <f t="shared" si="3"/>
        <v>0</v>
      </c>
      <c r="F7" s="28">
        <v>0.05</v>
      </c>
      <c r="M7" s="24"/>
    </row>
    <row r="8" spans="1:13" x14ac:dyDescent="0.25">
      <c r="A8" s="23" t="s">
        <v>41</v>
      </c>
      <c r="B8" s="27">
        <v>0</v>
      </c>
      <c r="C8" s="28">
        <f t="shared" si="1"/>
        <v>0</v>
      </c>
      <c r="D8" s="31">
        <f t="shared" si="2"/>
        <v>12262</v>
      </c>
      <c r="E8" s="31">
        <f t="shared" si="3"/>
        <v>0</v>
      </c>
      <c r="F8" s="28">
        <v>0.05</v>
      </c>
      <c r="M8" s="24"/>
    </row>
    <row r="9" spans="1:13" x14ac:dyDescent="0.25">
      <c r="D9" s="31"/>
      <c r="E9" s="31"/>
    </row>
    <row r="10" spans="1:13" s="23" customFormat="1" x14ac:dyDescent="0.25">
      <c r="A10" s="23" t="s">
        <v>16</v>
      </c>
      <c r="B10" s="29">
        <f>SUM(B2:B8)</f>
        <v>6</v>
      </c>
      <c r="C10" s="29"/>
      <c r="D10" s="32"/>
      <c r="E10" s="32">
        <f>SUM(E2:E9)</f>
        <v>56274</v>
      </c>
      <c r="F10" s="29"/>
    </row>
    <row r="11" spans="1:13" x14ac:dyDescent="0.25">
      <c r="A11" s="24" t="s">
        <v>0</v>
      </c>
      <c r="D11" s="31"/>
      <c r="E11" s="33">
        <f>ROUND(E10/B10,0)</f>
        <v>9379</v>
      </c>
    </row>
    <row r="12" spans="1:13" x14ac:dyDescent="0.25">
      <c r="A12" s="24" t="s">
        <v>26</v>
      </c>
      <c r="D12" s="31"/>
      <c r="E12" s="33">
        <f>E15/B10</f>
        <v>135</v>
      </c>
    </row>
    <row r="13" spans="1:13" x14ac:dyDescent="0.25">
      <c r="D13" s="30"/>
    </row>
    <row r="14" spans="1:13" x14ac:dyDescent="0.25">
      <c r="A14" s="59" t="s">
        <v>43</v>
      </c>
      <c r="B14" s="60"/>
      <c r="C14" s="60"/>
      <c r="D14" s="60"/>
      <c r="E14" s="61">
        <f>ROUND(VLOOKUP(B10,'FIA ST (Data)'!B:D,3,0),0)</f>
        <v>55464</v>
      </c>
      <c r="F14" s="60"/>
      <c r="G14" s="57"/>
    </row>
    <row r="15" spans="1:13" x14ac:dyDescent="0.25">
      <c r="A15" s="38" t="s">
        <v>19</v>
      </c>
      <c r="B15" s="39"/>
      <c r="C15" s="39"/>
      <c r="D15" s="39"/>
      <c r="E15" s="40">
        <f>E10-E14</f>
        <v>810</v>
      </c>
    </row>
    <row r="18" spans="1:3" x14ac:dyDescent="0.25">
      <c r="A18" s="49" t="s">
        <v>31</v>
      </c>
    </row>
    <row r="19" spans="1:3" x14ac:dyDescent="0.25">
      <c r="A19" s="49" t="s">
        <v>32</v>
      </c>
      <c r="B19" s="31"/>
      <c r="C19" s="31"/>
    </row>
    <row r="20" spans="1:3" x14ac:dyDescent="0.25">
      <c r="A20" s="49" t="s">
        <v>42</v>
      </c>
      <c r="B20" s="31"/>
      <c r="C20" s="31"/>
    </row>
    <row r="21" spans="1:3" x14ac:dyDescent="0.25">
      <c r="A21" s="49" t="s">
        <v>37</v>
      </c>
      <c r="B21" s="31"/>
      <c r="C21" s="31"/>
    </row>
    <row r="22" spans="1:3" x14ac:dyDescent="0.25">
      <c r="A22" s="49" t="s">
        <v>38</v>
      </c>
      <c r="B22" s="31"/>
      <c r="C22" s="31"/>
    </row>
    <row r="23" spans="1:3" x14ac:dyDescent="0.25">
      <c r="B23" s="31"/>
      <c r="C23" s="31"/>
    </row>
    <row r="24" spans="1:3" x14ac:dyDescent="0.25">
      <c r="A24" s="23" t="s">
        <v>27</v>
      </c>
    </row>
    <row r="25" spans="1:3" x14ac:dyDescent="0.25">
      <c r="A25" s="23" t="s">
        <v>28</v>
      </c>
    </row>
    <row r="26" spans="1:3" x14ac:dyDescent="0.25">
      <c r="A26" s="23" t="s">
        <v>29</v>
      </c>
    </row>
    <row r="28" spans="1:3" x14ac:dyDescent="0.25">
      <c r="A28" s="23" t="s">
        <v>33</v>
      </c>
    </row>
  </sheetData>
  <phoneticPr fontId="7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7B28D-3599-489A-BFF4-D9366031CEF0}">
  <dimension ref="B4:M37"/>
  <sheetViews>
    <sheetView topLeftCell="A6" workbookViewId="0">
      <selection activeCell="E12" sqref="E12"/>
    </sheetView>
  </sheetViews>
  <sheetFormatPr defaultColWidth="9.140625" defaultRowHeight="15" x14ac:dyDescent="0.25"/>
  <cols>
    <col min="1" max="1" width="8" style="2" customWidth="1"/>
    <col min="2" max="4" width="14.140625" style="2" customWidth="1"/>
    <col min="5" max="5" width="14.140625" style="3" customWidth="1"/>
    <col min="6" max="6" width="14.140625" style="2" customWidth="1"/>
    <col min="7" max="8" width="8" style="2" customWidth="1"/>
    <col min="9" max="11" width="14.140625" style="2" customWidth="1"/>
    <col min="12" max="12" width="14.140625" style="3" customWidth="1"/>
    <col min="13" max="13" width="14.140625" style="2" customWidth="1"/>
    <col min="14" max="14" width="8" style="2" customWidth="1"/>
    <col min="15" max="16384" width="9.140625" style="2"/>
  </cols>
  <sheetData>
    <row r="4" spans="2:13" ht="23.25" x14ac:dyDescent="0.35">
      <c r="D4" s="4"/>
      <c r="K4" s="4"/>
    </row>
    <row r="5" spans="2:13" x14ac:dyDescent="0.25">
      <c r="D5" s="5"/>
      <c r="K5" s="5"/>
    </row>
    <row r="6" spans="2:13" x14ac:dyDescent="0.25">
      <c r="D6" s="5"/>
      <c r="K6" s="5"/>
    </row>
    <row r="7" spans="2:13" x14ac:dyDescent="0.25">
      <c r="D7" s="5"/>
      <c r="K7" s="5"/>
    </row>
    <row r="8" spans="2:13" ht="21" x14ac:dyDescent="0.35">
      <c r="D8" s="21" t="s">
        <v>8</v>
      </c>
      <c r="K8" s="21" t="s">
        <v>8</v>
      </c>
    </row>
    <row r="9" spans="2:13" x14ac:dyDescent="0.25">
      <c r="D9" s="6" t="s">
        <v>9</v>
      </c>
      <c r="K9" s="6" t="s">
        <v>9</v>
      </c>
    </row>
    <row r="10" spans="2:13" ht="15.75" thickBot="1" x14ac:dyDescent="0.3"/>
    <row r="11" spans="2:13" x14ac:dyDescent="0.25">
      <c r="C11" s="7" t="s">
        <v>1</v>
      </c>
      <c r="D11" s="8"/>
      <c r="E11" s="9">
        <v>1.7500000000000002E-2</v>
      </c>
      <c r="J11" s="7" t="s">
        <v>1</v>
      </c>
      <c r="K11" s="8"/>
      <c r="L11" s="9">
        <v>1.7500000000000002E-2</v>
      </c>
    </row>
    <row r="12" spans="2:13" ht="15.75" thickBot="1" x14ac:dyDescent="0.3">
      <c r="C12" s="10" t="s">
        <v>0</v>
      </c>
      <c r="D12" s="11"/>
      <c r="E12" s="1">
        <f>'FIA Calculator'!E11</f>
        <v>9379</v>
      </c>
      <c r="J12" s="10" t="s">
        <v>0</v>
      </c>
      <c r="K12" s="11"/>
      <c r="L12" s="1" t="e">
        <f>'FIA Calculator'!#REF!</f>
        <v>#REF!</v>
      </c>
    </row>
    <row r="14" spans="2:13" x14ac:dyDescent="0.25">
      <c r="B14" s="12"/>
      <c r="C14" s="12"/>
      <c r="D14" s="13" t="s">
        <v>4</v>
      </c>
      <c r="I14" s="12"/>
      <c r="J14" s="12"/>
      <c r="K14" s="13" t="s">
        <v>4</v>
      </c>
    </row>
    <row r="16" spans="2:13" s="17" customFormat="1" ht="30" x14ac:dyDescent="0.25">
      <c r="B16" s="14" t="s">
        <v>5</v>
      </c>
      <c r="C16" s="15" t="s">
        <v>3</v>
      </c>
      <c r="D16" s="14" t="s">
        <v>6</v>
      </c>
      <c r="E16" s="16" t="s">
        <v>7</v>
      </c>
      <c r="F16" s="14" t="s">
        <v>2</v>
      </c>
      <c r="I16" s="14" t="s">
        <v>5</v>
      </c>
      <c r="J16" s="15" t="s">
        <v>3</v>
      </c>
      <c r="K16" s="14" t="s">
        <v>6</v>
      </c>
      <c r="L16" s="16" t="s">
        <v>7</v>
      </c>
      <c r="M16" s="14" t="s">
        <v>2</v>
      </c>
    </row>
    <row r="17" spans="2:13" x14ac:dyDescent="0.25">
      <c r="B17" s="18">
        <v>21</v>
      </c>
      <c r="C17" s="19">
        <f t="shared" ref="C17:C35" si="0">C18/(1+$E$11/3)</f>
        <v>0.89018345665162757</v>
      </c>
      <c r="D17" s="22">
        <f t="shared" ref="D17:D35" si="1">SUM(D18,C17*$E$12)</f>
        <v>185945.17601103682</v>
      </c>
      <c r="E17" s="22">
        <f t="shared" ref="E17:E31" si="2">B17*$E$12-D17</f>
        <v>11013.82398896318</v>
      </c>
      <c r="F17" s="20">
        <f t="shared" ref="F17:F31" si="3">E17/(B17*$E$12)</f>
        <v>5.5919374026894841E-2</v>
      </c>
      <c r="I17" s="18">
        <v>21</v>
      </c>
      <c r="J17" s="19">
        <f t="shared" ref="J17:J35" si="4">J18/(1+$L$11/3)</f>
        <v>0.89018345665162757</v>
      </c>
      <c r="K17" s="22" t="e">
        <f>SUM(K18,J17*$L$12)</f>
        <v>#REF!</v>
      </c>
      <c r="L17" s="22" t="e">
        <f>I17*$L$12-K17</f>
        <v>#REF!</v>
      </c>
      <c r="M17" s="20" t="e">
        <f>L17/(I17*$L$12)</f>
        <v>#REF!</v>
      </c>
    </row>
    <row r="18" spans="2:13" x14ac:dyDescent="0.25">
      <c r="B18" s="18">
        <v>20</v>
      </c>
      <c r="C18" s="19">
        <f t="shared" si="0"/>
        <v>0.89537619348209541</v>
      </c>
      <c r="D18" s="22">
        <f t="shared" si="1"/>
        <v>177596.14537110121</v>
      </c>
      <c r="E18" s="22">
        <f t="shared" si="2"/>
        <v>9983.8546288987854</v>
      </c>
      <c r="F18" s="20">
        <f t="shared" si="3"/>
        <v>5.3224515560820904E-2</v>
      </c>
      <c r="I18" s="18">
        <v>20</v>
      </c>
      <c r="J18" s="19">
        <f t="shared" si="4"/>
        <v>0.89537619348209541</v>
      </c>
      <c r="K18" s="22" t="e">
        <f t="shared" ref="K18:K36" si="5">SUM(K19,J18*$L$12)</f>
        <v>#REF!</v>
      </c>
      <c r="L18" s="22" t="e">
        <f t="shared" ref="L18:L37" si="6">I18*$L$12-K18</f>
        <v>#REF!</v>
      </c>
      <c r="M18" s="20" t="e">
        <f t="shared" ref="M18:M35" si="7">L18/(I18*$L$12)</f>
        <v>#REF!</v>
      </c>
    </row>
    <row r="19" spans="2:13" x14ac:dyDescent="0.25">
      <c r="B19" s="34">
        <v>19</v>
      </c>
      <c r="C19" s="35">
        <f t="shared" si="0"/>
        <v>0.90059922127740766</v>
      </c>
      <c r="D19" s="36">
        <f t="shared" si="1"/>
        <v>169198.41205243263</v>
      </c>
      <c r="E19" s="36">
        <f t="shared" si="2"/>
        <v>9002.5879475673719</v>
      </c>
      <c r="F19" s="37">
        <f t="shared" si="3"/>
        <v>5.051928972097447E-2</v>
      </c>
      <c r="I19" s="34">
        <v>19</v>
      </c>
      <c r="J19" s="19">
        <f t="shared" si="4"/>
        <v>0.90059922127740766</v>
      </c>
      <c r="K19" s="22" t="e">
        <f t="shared" si="5"/>
        <v>#REF!</v>
      </c>
      <c r="L19" s="22" t="e">
        <f t="shared" si="6"/>
        <v>#REF!</v>
      </c>
      <c r="M19" s="20" t="e">
        <f t="shared" si="7"/>
        <v>#REF!</v>
      </c>
    </row>
    <row r="20" spans="2:13" x14ac:dyDescent="0.25">
      <c r="B20" s="18">
        <v>18</v>
      </c>
      <c r="C20" s="19">
        <f t="shared" si="0"/>
        <v>0.90585271673485923</v>
      </c>
      <c r="D20" s="22">
        <f t="shared" si="1"/>
        <v>160751.69195607182</v>
      </c>
      <c r="E20" s="22">
        <f t="shared" si="2"/>
        <v>8070.3080439281766</v>
      </c>
      <c r="F20" s="20">
        <f t="shared" si="3"/>
        <v>4.7803651443106804E-2</v>
      </c>
      <c r="I20" s="18">
        <v>18</v>
      </c>
      <c r="J20" s="19">
        <f t="shared" si="4"/>
        <v>0.90585271673485923</v>
      </c>
      <c r="K20" s="22" t="e">
        <f t="shared" si="5"/>
        <v>#REF!</v>
      </c>
      <c r="L20" s="22" t="e">
        <f t="shared" si="6"/>
        <v>#REF!</v>
      </c>
      <c r="M20" s="20" t="e">
        <f t="shared" si="7"/>
        <v>#REF!</v>
      </c>
    </row>
    <row r="21" spans="2:13" x14ac:dyDescent="0.25">
      <c r="B21" s="18">
        <v>17</v>
      </c>
      <c r="C21" s="19">
        <f t="shared" si="0"/>
        <v>0.91113685758247931</v>
      </c>
      <c r="D21" s="22">
        <f t="shared" si="1"/>
        <v>152255.69932581557</v>
      </c>
      <c r="E21" s="22">
        <f t="shared" si="2"/>
        <v>7187.3006741844292</v>
      </c>
      <c r="F21" s="20">
        <f t="shared" si="3"/>
        <v>4.5077555453575439E-2</v>
      </c>
      <c r="I21" s="18">
        <v>17</v>
      </c>
      <c r="J21" s="19">
        <f t="shared" si="4"/>
        <v>0.91113685758247931</v>
      </c>
      <c r="K21" s="22" t="e">
        <f t="shared" si="5"/>
        <v>#REF!</v>
      </c>
      <c r="L21" s="22" t="e">
        <f t="shared" si="6"/>
        <v>#REF!</v>
      </c>
      <c r="M21" s="20" t="e">
        <f t="shared" si="7"/>
        <v>#REF!</v>
      </c>
    </row>
    <row r="22" spans="2:13" x14ac:dyDescent="0.25">
      <c r="B22" s="18">
        <v>16</v>
      </c>
      <c r="C22" s="19">
        <f t="shared" si="0"/>
        <v>0.91645182258504376</v>
      </c>
      <c r="D22" s="22">
        <f t="shared" si="1"/>
        <v>143710.14673854949</v>
      </c>
      <c r="E22" s="22">
        <f t="shared" si="2"/>
        <v>6353.8532614505093</v>
      </c>
      <c r="F22" s="20">
        <f t="shared" si="3"/>
        <v>4.2340956268328907E-2</v>
      </c>
      <c r="I22" s="18">
        <v>16</v>
      </c>
      <c r="J22" s="19">
        <f t="shared" si="4"/>
        <v>0.91645182258504376</v>
      </c>
      <c r="K22" s="22" t="e">
        <f t="shared" si="5"/>
        <v>#REF!</v>
      </c>
      <c r="L22" s="22" t="e">
        <f t="shared" si="6"/>
        <v>#REF!</v>
      </c>
      <c r="M22" s="20" t="e">
        <f t="shared" si="7"/>
        <v>#REF!</v>
      </c>
    </row>
    <row r="23" spans="2:13" x14ac:dyDescent="0.25">
      <c r="B23" s="18">
        <v>15</v>
      </c>
      <c r="C23" s="19">
        <f t="shared" si="0"/>
        <v>0.9217977915501232</v>
      </c>
      <c r="D23" s="22">
        <f t="shared" si="1"/>
        <v>135114.74509452438</v>
      </c>
      <c r="E23" s="22">
        <f t="shared" si="2"/>
        <v>5570.2549054756237</v>
      </c>
      <c r="F23" s="20">
        <f t="shared" si="3"/>
        <v>3.9593808191887007E-2</v>
      </c>
      <c r="I23" s="18">
        <v>15</v>
      </c>
      <c r="J23" s="19">
        <f t="shared" si="4"/>
        <v>0.9217977915501232</v>
      </c>
      <c r="K23" s="22" t="e">
        <f t="shared" si="5"/>
        <v>#REF!</v>
      </c>
      <c r="L23" s="22" t="e">
        <f t="shared" si="6"/>
        <v>#REF!</v>
      </c>
      <c r="M23" s="20" t="e">
        <f t="shared" si="7"/>
        <v>#REF!</v>
      </c>
    </row>
    <row r="24" spans="2:13" x14ac:dyDescent="0.25">
      <c r="B24" s="18">
        <v>14</v>
      </c>
      <c r="C24" s="19">
        <f t="shared" si="0"/>
        <v>0.92717494533416556</v>
      </c>
      <c r="D24" s="22">
        <f t="shared" si="1"/>
        <v>126469.20360757578</v>
      </c>
      <c r="E24" s="22">
        <f t="shared" si="2"/>
        <v>4836.7963924242213</v>
      </c>
      <c r="F24" s="20">
        <f t="shared" si="3"/>
        <v>3.6836065316316245E-2</v>
      </c>
      <c r="I24" s="18">
        <v>14</v>
      </c>
      <c r="J24" s="19">
        <f t="shared" si="4"/>
        <v>0.92717494533416556</v>
      </c>
      <c r="K24" s="22" t="e">
        <f t="shared" si="5"/>
        <v>#REF!</v>
      </c>
      <c r="L24" s="22" t="e">
        <f t="shared" si="6"/>
        <v>#REF!</v>
      </c>
      <c r="M24" s="20" t="e">
        <f t="shared" si="7"/>
        <v>#REF!</v>
      </c>
    </row>
    <row r="25" spans="2:13" x14ac:dyDescent="0.25">
      <c r="B25" s="18">
        <v>13</v>
      </c>
      <c r="C25" s="19">
        <f t="shared" si="0"/>
        <v>0.93258346584861485</v>
      </c>
      <c r="D25" s="22">
        <f t="shared" si="1"/>
        <v>117773.22979528664</v>
      </c>
      <c r="E25" s="22">
        <f t="shared" si="2"/>
        <v>4153.7702047133644</v>
      </c>
      <c r="F25" s="20">
        <f t="shared" si="3"/>
        <v>3.4067681520199497E-2</v>
      </c>
      <c r="I25" s="18">
        <v>13</v>
      </c>
      <c r="J25" s="19">
        <f t="shared" si="4"/>
        <v>0.93258346584861485</v>
      </c>
      <c r="K25" s="22" t="e">
        <f t="shared" si="5"/>
        <v>#REF!</v>
      </c>
      <c r="L25" s="22" t="e">
        <f t="shared" si="6"/>
        <v>#REF!</v>
      </c>
      <c r="M25" s="20" t="e">
        <f t="shared" si="7"/>
        <v>#REF!</v>
      </c>
    </row>
    <row r="26" spans="2:13" x14ac:dyDescent="0.25">
      <c r="B26" s="18">
        <v>12</v>
      </c>
      <c r="C26" s="19">
        <f t="shared" si="0"/>
        <v>0.93802353606606514</v>
      </c>
      <c r="D26" s="22">
        <f t="shared" si="1"/>
        <v>109026.52946909248</v>
      </c>
      <c r="E26" s="22">
        <f t="shared" si="2"/>
        <v>3521.4705309075216</v>
      </c>
      <c r="F26" s="20">
        <f t="shared" si="3"/>
        <v>3.1288610467600682E-2</v>
      </c>
      <c r="I26" s="18">
        <v>12</v>
      </c>
      <c r="J26" s="19">
        <f t="shared" si="4"/>
        <v>0.93802353606606514</v>
      </c>
      <c r="K26" s="22" t="e">
        <f t="shared" si="5"/>
        <v>#REF!</v>
      </c>
      <c r="L26" s="22" t="e">
        <f t="shared" si="6"/>
        <v>#REF!</v>
      </c>
      <c r="M26" s="20" t="e">
        <f t="shared" si="7"/>
        <v>#REF!</v>
      </c>
    </row>
    <row r="27" spans="2:13" x14ac:dyDescent="0.25">
      <c r="B27" s="18">
        <v>11</v>
      </c>
      <c r="C27" s="19">
        <f t="shared" si="0"/>
        <v>0.94349534002645052</v>
      </c>
      <c r="D27" s="22">
        <f t="shared" si="1"/>
        <v>100228.80672432885</v>
      </c>
      <c r="E27" s="22">
        <f t="shared" si="2"/>
        <v>2940.1932756711467</v>
      </c>
      <c r="F27" s="20">
        <f t="shared" si="3"/>
        <v>2.8498805607024849E-2</v>
      </c>
      <c r="I27" s="18">
        <v>11</v>
      </c>
      <c r="J27" s="19">
        <f t="shared" si="4"/>
        <v>0.94349534002645052</v>
      </c>
      <c r="K27" s="22" t="e">
        <f t="shared" si="5"/>
        <v>#REF!</v>
      </c>
      <c r="L27" s="22" t="e">
        <f t="shared" si="6"/>
        <v>#REF!</v>
      </c>
      <c r="M27" s="20" t="e">
        <f t="shared" si="7"/>
        <v>#REF!</v>
      </c>
    </row>
    <row r="28" spans="2:13" x14ac:dyDescent="0.25">
      <c r="B28" s="18">
        <v>10</v>
      </c>
      <c r="C28" s="19">
        <f t="shared" si="0"/>
        <v>0.94899906284327151</v>
      </c>
      <c r="D28" s="22">
        <f t="shared" si="1"/>
        <v>91379.763930220768</v>
      </c>
      <c r="E28" s="22">
        <f t="shared" si="2"/>
        <v>2410.2360697792319</v>
      </c>
      <c r="F28" s="20">
        <f t="shared" si="3"/>
        <v>2.569822017037245E-2</v>
      </c>
      <c r="I28" s="18">
        <v>10</v>
      </c>
      <c r="J28" s="19">
        <f t="shared" si="4"/>
        <v>0.94899906284327151</v>
      </c>
      <c r="K28" s="22" t="e">
        <f t="shared" si="5"/>
        <v>#REF!</v>
      </c>
      <c r="L28" s="22" t="e">
        <f t="shared" si="6"/>
        <v>#REF!</v>
      </c>
      <c r="M28" s="20" t="e">
        <f t="shared" si="7"/>
        <v>#REF!</v>
      </c>
    </row>
    <row r="29" spans="2:13" x14ac:dyDescent="0.25">
      <c r="B29" s="18">
        <v>9</v>
      </c>
      <c r="C29" s="19">
        <f t="shared" si="0"/>
        <v>0.95453489070985731</v>
      </c>
      <c r="D29" s="22">
        <f t="shared" si="1"/>
        <v>82479.101719813727</v>
      </c>
      <c r="E29" s="22">
        <f t="shared" si="2"/>
        <v>1931.898280186273</v>
      </c>
      <c r="F29" s="20">
        <f t="shared" si="3"/>
        <v>2.2886807171888415E-2</v>
      </c>
      <c r="I29" s="18">
        <v>9</v>
      </c>
      <c r="J29" s="19">
        <f t="shared" si="4"/>
        <v>0.95453489070985731</v>
      </c>
      <c r="K29" s="22" t="e">
        <f t="shared" si="5"/>
        <v>#REF!</v>
      </c>
      <c r="L29" s="22" t="e">
        <f t="shared" si="6"/>
        <v>#REF!</v>
      </c>
      <c r="M29" s="20" t="e">
        <f t="shared" si="7"/>
        <v>#REF!</v>
      </c>
    </row>
    <row r="30" spans="2:13" x14ac:dyDescent="0.25">
      <c r="B30" s="18">
        <v>8</v>
      </c>
      <c r="C30" s="19">
        <f t="shared" si="0"/>
        <v>0.96010301090566486</v>
      </c>
      <c r="D30" s="22">
        <f t="shared" si="1"/>
        <v>73526.518979845976</v>
      </c>
      <c r="E30" s="22">
        <f t="shared" si="2"/>
        <v>1505.481020154024</v>
      </c>
      <c r="F30" s="20">
        <f t="shared" si="3"/>
        <v>2.0064519407106622E-2</v>
      </c>
      <c r="I30" s="18">
        <v>8</v>
      </c>
      <c r="J30" s="19">
        <f t="shared" si="4"/>
        <v>0.96010301090566486</v>
      </c>
      <c r="K30" s="22" t="e">
        <f t="shared" si="5"/>
        <v>#REF!</v>
      </c>
      <c r="L30" s="22" t="e">
        <f t="shared" si="6"/>
        <v>#REF!</v>
      </c>
      <c r="M30" s="20" t="e">
        <f t="shared" si="7"/>
        <v>#REF!</v>
      </c>
    </row>
    <row r="31" spans="2:13" x14ac:dyDescent="0.25">
      <c r="B31" s="18">
        <v>7</v>
      </c>
      <c r="C31" s="19">
        <f t="shared" si="0"/>
        <v>0.96570361180261455</v>
      </c>
      <c r="D31" s="22">
        <f t="shared" si="1"/>
        <v>64521.71284056174</v>
      </c>
      <c r="E31" s="22">
        <f t="shared" si="2"/>
        <v>1131.2871594382596</v>
      </c>
      <c r="F31" s="20">
        <f t="shared" si="3"/>
        <v>1.7231309451788336E-2</v>
      </c>
      <c r="I31" s="18">
        <v>7</v>
      </c>
      <c r="J31" s="19">
        <f t="shared" si="4"/>
        <v>0.96570361180261455</v>
      </c>
      <c r="K31" s="22" t="e">
        <f t="shared" si="5"/>
        <v>#REF!</v>
      </c>
      <c r="L31" s="22" t="e">
        <f t="shared" si="6"/>
        <v>#REF!</v>
      </c>
      <c r="M31" s="20" t="e">
        <f t="shared" si="7"/>
        <v>#REF!</v>
      </c>
    </row>
    <row r="32" spans="2:13" x14ac:dyDescent="0.25">
      <c r="B32" s="18">
        <v>6</v>
      </c>
      <c r="C32" s="19">
        <f t="shared" si="0"/>
        <v>0.97133688287146314</v>
      </c>
      <c r="D32" s="22">
        <f t="shared" si="1"/>
        <v>55464.378665465018</v>
      </c>
      <c r="E32" s="22">
        <f t="shared" ref="E32:E36" si="8">B32*$E$12-D32</f>
        <v>809.62133453498245</v>
      </c>
      <c r="F32" s="20">
        <f t="shared" ref="F32:F37" si="9">E32/(B32*$E$12)</f>
        <v>1.4387129660855501E-2</v>
      </c>
      <c r="I32" s="18">
        <v>6</v>
      </c>
      <c r="J32" s="19">
        <f t="shared" si="4"/>
        <v>0.97133688287146314</v>
      </c>
      <c r="K32" s="22" t="e">
        <f t="shared" si="5"/>
        <v>#REF!</v>
      </c>
      <c r="L32" s="22" t="e">
        <f t="shared" si="6"/>
        <v>#REF!</v>
      </c>
      <c r="M32" s="20" t="e">
        <f t="shared" si="7"/>
        <v>#REF!</v>
      </c>
    </row>
    <row r="33" spans="2:13" x14ac:dyDescent="0.25">
      <c r="B33" s="18">
        <v>5</v>
      </c>
      <c r="C33" s="19">
        <f t="shared" si="0"/>
        <v>0.97700301468821338</v>
      </c>
      <c r="D33" s="22">
        <f t="shared" si="1"/>
        <v>46354.210041013568</v>
      </c>
      <c r="E33" s="22">
        <f t="shared" si="8"/>
        <v>540.78995898643188</v>
      </c>
      <c r="F33" s="20">
        <f t="shared" si="9"/>
        <v>1.1531932167319157E-2</v>
      </c>
      <c r="I33" s="18">
        <v>5</v>
      </c>
      <c r="J33" s="19">
        <f t="shared" si="4"/>
        <v>0.97700301468821338</v>
      </c>
      <c r="K33" s="22" t="e">
        <f t="shared" si="5"/>
        <v>#REF!</v>
      </c>
      <c r="L33" s="22" t="e">
        <f t="shared" si="6"/>
        <v>#REF!</v>
      </c>
      <c r="M33" s="20" t="e">
        <f t="shared" si="7"/>
        <v>#REF!</v>
      </c>
    </row>
    <row r="34" spans="2:13" x14ac:dyDescent="0.25">
      <c r="B34" s="18">
        <v>4</v>
      </c>
      <c r="C34" s="19">
        <f t="shared" si="0"/>
        <v>0.98270219894056132</v>
      </c>
      <c r="D34" s="22">
        <f t="shared" si="1"/>
        <v>37190.898766252816</v>
      </c>
      <c r="E34" s="22">
        <f t="shared" si="8"/>
        <v>325.10123374718387</v>
      </c>
      <c r="F34" s="20">
        <f t="shared" si="9"/>
        <v>8.6656688812022566E-3</v>
      </c>
      <c r="I34" s="18">
        <v>4</v>
      </c>
      <c r="J34" s="19">
        <f t="shared" si="4"/>
        <v>0.98270219894056132</v>
      </c>
      <c r="K34" s="22" t="e">
        <f t="shared" si="5"/>
        <v>#REF!</v>
      </c>
      <c r="L34" s="22" t="e">
        <f t="shared" si="6"/>
        <v>#REF!</v>
      </c>
      <c r="M34" s="20" t="e">
        <f t="shared" si="7"/>
        <v>#REF!</v>
      </c>
    </row>
    <row r="35" spans="2:13" x14ac:dyDescent="0.25">
      <c r="B35" s="18">
        <v>3</v>
      </c>
      <c r="C35" s="19">
        <f t="shared" si="0"/>
        <v>0.98843462843438123</v>
      </c>
      <c r="D35" s="22">
        <f t="shared" si="1"/>
        <v>27974.134842389292</v>
      </c>
      <c r="E35" s="22">
        <f t="shared" si="8"/>
        <v>162.86515761070768</v>
      </c>
      <c r="F35" s="20">
        <f t="shared" si="9"/>
        <v>5.7882914884567534E-3</v>
      </c>
      <c r="I35" s="18">
        <v>3</v>
      </c>
      <c r="J35" s="19">
        <f t="shared" si="4"/>
        <v>0.98843462843438123</v>
      </c>
      <c r="K35" s="22" t="e">
        <f t="shared" si="5"/>
        <v>#REF!</v>
      </c>
      <c r="L35" s="22" t="e">
        <f t="shared" si="6"/>
        <v>#REF!</v>
      </c>
      <c r="M35" s="20" t="e">
        <f t="shared" si="7"/>
        <v>#REF!</v>
      </c>
    </row>
    <row r="36" spans="2:13" x14ac:dyDescent="0.25">
      <c r="B36" s="18">
        <v>2</v>
      </c>
      <c r="C36" s="19">
        <f>C37/(1+$E$11/3)</f>
        <v>0.99420049710024849</v>
      </c>
      <c r="D36" s="22">
        <f>SUM(D37,C36*$E$12)</f>
        <v>18703.606462303229</v>
      </c>
      <c r="E36" s="22">
        <f t="shared" si="8"/>
        <v>54.393537696771091</v>
      </c>
      <c r="F36" s="20">
        <f t="shared" si="9"/>
        <v>2.8997514498758444E-3</v>
      </c>
      <c r="I36" s="18">
        <v>2</v>
      </c>
      <c r="J36" s="19">
        <f>J37/(1+$L$11/3)</f>
        <v>0.99420049710024849</v>
      </c>
      <c r="K36" s="22" t="e">
        <f t="shared" si="5"/>
        <v>#REF!</v>
      </c>
      <c r="L36" s="22" t="e">
        <f t="shared" si="6"/>
        <v>#REF!</v>
      </c>
      <c r="M36" s="20" t="e">
        <f>L36/(I36*$L$12)</f>
        <v>#REF!</v>
      </c>
    </row>
    <row r="37" spans="2:13" x14ac:dyDescent="0.25">
      <c r="B37" s="18">
        <v>1</v>
      </c>
      <c r="C37" s="19">
        <v>1</v>
      </c>
      <c r="D37" s="22">
        <f>$E$12</f>
        <v>9379</v>
      </c>
      <c r="E37" s="22">
        <f>B37*$E$12-D37</f>
        <v>0</v>
      </c>
      <c r="F37" s="20">
        <f t="shared" si="9"/>
        <v>0</v>
      </c>
      <c r="I37" s="18">
        <v>1</v>
      </c>
      <c r="J37" s="19">
        <v>1</v>
      </c>
      <c r="K37" s="22" t="e">
        <f>$L$12</f>
        <v>#REF!</v>
      </c>
      <c r="L37" s="22" t="e">
        <f t="shared" si="6"/>
        <v>#REF!</v>
      </c>
      <c r="M37" s="20" t="e">
        <f t="shared" ref="M37" si="10">L37/(I37*$L$12)</f>
        <v>#REF!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8591D82682704D93FA1FC4CD48F760" ma:contentTypeVersion="26" ma:contentTypeDescription="Create a new document." ma:contentTypeScope="" ma:versionID="10ee3d53d8cb6681591579ef31619453">
  <xsd:schema xmlns:xsd="http://www.w3.org/2001/XMLSchema" xmlns:xs="http://www.w3.org/2001/XMLSchema" xmlns:p="http://schemas.microsoft.com/office/2006/metadata/properties" xmlns:ns2="3d9bf369-bd70-4a2b-b55e-e9ca6094c5e3" xmlns:ns3="0cbce585-41b4-49a4-a723-5fa4943a91af" targetNamespace="http://schemas.microsoft.com/office/2006/metadata/properties" ma:root="true" ma:fieldsID="f94e58e139e0168f4adf9f789069b908" ns2:_="" ns3:_="">
    <xsd:import namespace="3d9bf369-bd70-4a2b-b55e-e9ca6094c5e3"/>
    <xsd:import namespace="0cbce585-41b4-49a4-a723-5fa4943a91af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b55cbeb0c7394ec9adfa43f85624559b" minOccurs="0"/>
                <xsd:element ref="ns2:TaxKeywordTaxHTFiel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2:SharedWithUsers" minOccurs="0"/>
                <xsd:element ref="ns2:SharedWithDetail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lcf76f155ced4ddcb4097134ff3c332f" minOccurs="0"/>
                <xsd:element ref="ns3:MediaLengthInSecond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  <xsd:element ref="ns3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bf369-bd70-4a2b-b55e-e9ca6094c5e3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cc5b198f-d92e-4922-bee0-2ceb3f06fce9}" ma:internalName="TaxCatchAll" ma:showField="CatchAllData" ma:web="3d9bf369-bd70-4a2b-b55e-e9ca6094c5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55cbeb0c7394ec9adfa43f85624559b" ma:index="10" nillable="true" ma:taxonomy="true" ma:internalName="b55cbeb0c7394ec9adfa43f85624559b" ma:taxonomyFieldName="Academic_x0020_Year" ma:displayName="Academic Year" ma:default="" ma:fieldId="{b55cbeb0-c739-4ec9-adfa-43f85624559b}" ma:taxonomyMulti="true" ma:sspId="876332c0-1b06-48b1-9bbc-17e5ab2b1bd7" ma:termSetId="ca2e220a-dc90-47d3-8dd5-f6be690f91f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11" nillable="true" ma:taxonomy="true" ma:internalName="TaxKeywordTaxHTField" ma:taxonomyFieldName="TaxKeyword" ma:displayName="Enterprise Keywords" ma:fieldId="{23f27201-bee3-471e-b2e7-b64fd8b7ca38}" ma:taxonomyMulti="true" ma:sspId="876332c0-1b06-48b1-9bbc-17e5ab2b1bd7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bce585-41b4-49a4-a723-5fa4943a91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876332c0-1b06-48b1-9bbc-17e5ab2b1b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6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9" nillable="true" ma:displayName="Sign-off status" ma:internalName="Sign_x002d_off_x0020_statu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cbce585-41b4-49a4-a723-5fa4943a91af">
      <Terms xmlns="http://schemas.microsoft.com/office/infopath/2007/PartnerControls"/>
    </lcf76f155ced4ddcb4097134ff3c332f>
    <TaxCatchAll xmlns="3d9bf369-bd70-4a2b-b55e-e9ca6094c5e3" xsi:nil="true"/>
    <b55cbeb0c7394ec9adfa43f85624559b xmlns="3d9bf369-bd70-4a2b-b55e-e9ca6094c5e3">
      <Terms xmlns="http://schemas.microsoft.com/office/infopath/2007/PartnerControls"/>
    </b55cbeb0c7394ec9adfa43f85624559b>
    <TaxKeywordTaxHTField xmlns="3d9bf369-bd70-4a2b-b55e-e9ca6094c5e3">
      <Terms xmlns="http://schemas.microsoft.com/office/infopath/2007/PartnerControls"/>
    </TaxKeywordTaxHTField>
    <_Flow_SignoffStatus xmlns="0cbce585-41b4-49a4-a723-5fa4943a91af" xsi:nil="true"/>
  </documentManagement>
</p:properties>
</file>

<file path=customXml/itemProps1.xml><?xml version="1.0" encoding="utf-8"?>
<ds:datastoreItem xmlns:ds="http://schemas.openxmlformats.org/officeDocument/2006/customXml" ds:itemID="{A1E2486A-C511-42A8-921B-39AD20B687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83C7B5A-0D41-4AF7-989C-E53F3EFE9F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bf369-bd70-4a2b-b55e-e9ca6094c5e3"/>
    <ds:schemaRef ds:uri="0cbce585-41b4-49a4-a723-5fa4943a91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F08F4D5-3E3B-4880-8EFE-88B79626A042}">
  <ds:schemaRefs>
    <ds:schemaRef ds:uri="http://schemas.microsoft.com/office/2006/metadata/properties"/>
    <ds:schemaRef ds:uri="http://www.w3.org/XML/1998/namespace"/>
    <ds:schemaRef ds:uri="3d9bf369-bd70-4a2b-b55e-e9ca6094c5e3"/>
    <ds:schemaRef ds:uri="http://purl.org/dc/dcmitype/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0cbce585-41b4-49a4-a723-5fa4943a91a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FIA - Termly Contribution</vt:lpstr>
      <vt:lpstr>FIA - Total Contribution</vt:lpstr>
      <vt:lpstr>FIA Calculator</vt:lpstr>
      <vt:lpstr>FIA ST (Data)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T Hughes</dc:creator>
  <cp:lastModifiedBy>Mr T Hughes</cp:lastModifiedBy>
  <cp:lastPrinted>2024-02-02T14:24:36Z</cp:lastPrinted>
  <dcterms:created xsi:type="dcterms:W3CDTF">2023-03-13T15:16:49Z</dcterms:created>
  <dcterms:modified xsi:type="dcterms:W3CDTF">2025-04-02T10:38:18Z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0x0101003E8591D82682704D93FA1FC4CD48F760</vt:lpwstr>
  </property>
  <property fmtid="{D5CDD505-2E9C-101B-9397-08002B2CF9AE}" pid="3" name="Academic Year">
    <vt:lpwstr/>
  </property>
  <property fmtid="{D5CDD505-2E9C-101B-9397-08002B2CF9AE}" pid="4" name="TaxKeyword">
    <vt:lpwstr/>
  </property>
  <property fmtid="{D5CDD505-2E9C-101B-9397-08002B2CF9AE}" pid="5" name="MediaServiceImageTags">
    <vt:lpwstr/>
  </property>
  <property fmtid="{D5CDD505-2E9C-101B-9397-08002B2CF9AE}" pid="6" name="Academic_x0020_Year">
    <vt:lpwstr/>
  </property>
</Properties>
</file>